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928"/>
  <workbookPr codeName="ThisWorkbook" defaultThemeVersion="166925"/>
  <bookViews>
    <workbookView xWindow="-120" yWindow="-120" windowWidth="29040" windowHeight="15840"/>
  </bookViews>
  <sheets>
    <sheet name="Patient information entry" sheetId="3" r:id="rId1"/>
    <sheet name="Sheet1" sheetId="4" r:id="rId2" state="hidden"/>
    <sheet name="Wessex Drug Guide V2.2" sheetId="1" r:id="rId3"/>
  </sheets>
  <definedNames>
    <definedName name="_xlnm.Print_Area" comment="" localSheetId="0">'Patient information entry'!$B$2:$G$16</definedName>
    <definedName name="Z_F5175776_6C8C_4E39_A637_5ABA93205FE7_.wvu.PrintArea" comment="" localSheetId="0" hidden="1">'Patient information entry'!$B$2:$G$16</definedName>
  </definedNames>
  <calcPr fullPrecision="1" calcId="191028"/>
  <customWorkbookViews>
    <customWorkbookView name="Entry Page" guid="{F5175776-6C8C-4E39-A637-5ABA93205FE7}"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<sst xmlns="http://schemas.openxmlformats.org/spreadsheetml/2006/main" uniqueCount="186" count="263">
  <si>
    <t>Patient Initials</t>
  </si>
  <si>
    <t>Date of Birth</t>
  </si>
  <si>
    <t>Gestatation</t>
  </si>
  <si>
    <t>Weeks</t>
  </si>
  <si>
    <t>Weight</t>
  </si>
  <si>
    <t>Check Weight</t>
  </si>
  <si>
    <t>Click here to open Wessex Drug Guide</t>
  </si>
  <si>
    <t>THE WEIGHT DOESN'T MATCH PLEASE RE CHECK</t>
  </si>
  <si>
    <t xml:space="preserve">BOTH WEIGHTS  MATCH, IS THIS THE CORRECT WEIGHT? </t>
  </si>
  <si>
    <t>PLEASE FILL IN WEIGHT &amp; CHECK WEIGHT</t>
  </si>
  <si>
    <t>Please select Y/N</t>
  </si>
  <si>
    <t>Yes</t>
  </si>
  <si>
    <t>No</t>
  </si>
  <si>
    <t>kg</t>
  </si>
  <si>
    <t>Return to Entry Page</t>
  </si>
  <si>
    <t>All drugs IV route unless otherwise specified</t>
  </si>
  <si>
    <t>Date of birth</t>
  </si>
  <si>
    <t>Gestation</t>
  </si>
  <si>
    <t xml:space="preserve">weeks </t>
  </si>
  <si>
    <t>Value needs completing</t>
  </si>
  <si>
    <t>RESUSCITATION</t>
  </si>
  <si>
    <t>UMBILICAL LINE LENGTHS</t>
  </si>
  <si>
    <t>Drug</t>
  </si>
  <si>
    <t>Dose calculation</t>
  </si>
  <si>
    <t>Calculated dose</t>
  </si>
  <si>
    <t>Notes</t>
  </si>
  <si>
    <t>UAC</t>
  </si>
  <si>
    <t>cm + cord length</t>
  </si>
  <si>
    <t>UVC</t>
  </si>
  <si>
    <t>Adrenaline (IV/IO) 1:10,000</t>
  </si>
  <si>
    <t>ml</t>
  </si>
  <si>
    <t>20 mcg/kg (1:10,000 = 100mcg/ml). Dose can be repeated as required</t>
  </si>
  <si>
    <t>UVC: (weight x1.5)+5.5cm+cord length                                                                           UAC: (weightx3)+9cm+cord length</t>
  </si>
  <si>
    <t>10% Glucose</t>
  </si>
  <si>
    <t xml:space="preserve">2.5ml/kg. Can be used to treat hypoglycaemia - repeat as required </t>
  </si>
  <si>
    <t xml:space="preserve">4.2% Sodium bicarbonate </t>
  </si>
  <si>
    <t>2-4mls/kg. 4.2% sodium bicarbonate is equivalent to 0.5mmol/ml. Give over a minimum of 4 minutes (maximum 0.5mmol/kg/min)</t>
  </si>
  <si>
    <t>DINOPROSTONE INFUSION</t>
  </si>
  <si>
    <t>10% Calcium gluconate</t>
  </si>
  <si>
    <t xml:space="preserve">2ml/kg. Can dilute with 0.9% NaCl/5% glucose. Give over 10min.                                             10% calcium gluconate = 0.22mmol/ml </t>
  </si>
  <si>
    <t xml:space="preserve">Take 50mcg and dilute to 50ml with 0.9% NaCl/5% glucose.                              Dose range 0.3-3ml/kg/hr = 5-50 nanogram(ng)/kg/min. </t>
  </si>
  <si>
    <t>Naloxone IV (400mcg/ml)</t>
  </si>
  <si>
    <t>mcg</t>
  </si>
  <si>
    <t>10mcg/kg IV in opioid overdose. Repeat every 2-3 minutes as required (maximum total amount 2mg)</t>
  </si>
  <si>
    <t>Dose required</t>
  </si>
  <si>
    <t>Infusion rate</t>
  </si>
  <si>
    <t>Naloxone IM (400mcg/ml)</t>
  </si>
  <si>
    <t>200mcg IM</t>
  </si>
  <si>
    <r>
      <t>IM injection for babies exposed to maternal opioids (prolonged effect within 4hrs of birth).</t>
    </r>
    <r>
      <rPr>
        <sz val="8"/>
        <color rgb="FFFF0000"/>
        <rFont val="Arial"/>
        <family val="2"/>
        <charset val="0"/>
      </rPr>
      <t xml:space="preserve"> Do not use in babies with acute opioid overdose</t>
    </r>
  </si>
  <si>
    <t>5ng/kg/min</t>
  </si>
  <si>
    <t>10ng/kg/min</t>
  </si>
  <si>
    <t>INTUBATION        Sequence- Atropine / Fentanyl / Suxamethonium</t>
  </si>
  <si>
    <t>Drug/ Ampoule strength</t>
  </si>
  <si>
    <t>Dilution (Final Strength)</t>
  </si>
  <si>
    <t>20ng/kg/min</t>
  </si>
  <si>
    <t>Atropine (600mcg/ml)</t>
  </si>
  <si>
    <t>20mcg/kg. Dilute 600mcg to a total of 15ml with 0.9% NaCl (40mcg/ml)</t>
  </si>
  <si>
    <t>50ng/kg/min</t>
  </si>
  <si>
    <t>Fentanyl (50mcg/ml)</t>
  </si>
  <si>
    <t>4mcg/kg. Dilute 50mcg to a total of 5ml with 0.9% NaCl/5% glucose (10mcg/ml)</t>
  </si>
  <si>
    <t>May give up to 100ng/kg/min on the advice of the cardiology/SONeT Consultant</t>
  </si>
  <si>
    <t>Suxamethonium (50mg/ml)</t>
  </si>
  <si>
    <t>mg</t>
  </si>
  <si>
    <t>2mg/kg. Dilute 50mg to a total of 12.5ml with 0.9% NaCl (4mg/ml)</t>
  </si>
  <si>
    <t>SODIUM BICARBONATE CORRECTION</t>
  </si>
  <si>
    <t>OXYGEN INDEX (OI)</t>
  </si>
  <si>
    <t xml:space="preserve">Morphine (10mg/ml)                      </t>
  </si>
  <si>
    <r>
      <t xml:space="preserve">100mcg/kg. Dilute 1mg to a total of 10ml with 0.9% NaCl (100 mcg/ml). </t>
    </r>
    <r>
      <rPr>
        <sz val="8"/>
        <color rgb="FFFF0000"/>
        <rFont val="Arial"/>
        <family val="2"/>
        <charset val="0"/>
      </rPr>
      <t>Only use morphine if fentanyl not available</t>
    </r>
  </si>
  <si>
    <t>Divide by 2 for half correction.                        Full correction calculated using:                          base deficit x weight (kg) x 0.4 =                       X mmol of sodium bicarbonate</t>
  </si>
  <si>
    <t>Calculated using:                                           (MAP x FiO2)/(PaO2 x 7.5)</t>
  </si>
  <si>
    <t>Input</t>
  </si>
  <si>
    <t>Unit</t>
  </si>
  <si>
    <t>SEDATIVE / MUSCLE RELAXANT - INFUSION</t>
  </si>
  <si>
    <t>Base excess:</t>
  </si>
  <si>
    <t>mmol</t>
  </si>
  <si>
    <t>FiO2:</t>
  </si>
  <si>
    <t>%</t>
  </si>
  <si>
    <t>Drug/Ampoule Strength</t>
  </si>
  <si>
    <t>Calculated amount</t>
  </si>
  <si>
    <t>Infusion Dose range</t>
  </si>
  <si>
    <t>Dilution</t>
  </si>
  <si>
    <t>Calculated dose:</t>
  </si>
  <si>
    <t>MAP:</t>
  </si>
  <si>
    <t>cmH2O</t>
  </si>
  <si>
    <t>Morphine (10mg/ml)</t>
  </si>
  <si>
    <t>0.1-0.4ml/hr =                             5-20mcg/kg/hr</t>
  </si>
  <si>
    <t>Dilute 10mg  to 10ml with 0.9% NaCl (1mg/ml). Take 1mg/kg and dilute to 20ml with 5%/10% glucose</t>
  </si>
  <si>
    <t>PaO2:</t>
  </si>
  <si>
    <t>kPa</t>
  </si>
  <si>
    <r>
      <t/>
    </r>
    <r>
      <rPr>
        <b/>
        <sz val="8"/>
        <color theme="1"/>
        <rFont val="Arial"/>
        <family val="2"/>
        <charset val="0"/>
      </rPr>
      <t>Maximum rate 1mmol/kg/hr</t>
    </r>
    <r>
      <rPr>
        <sz val="8"/>
        <color theme="1"/>
        <rFont val="Arial"/>
        <family val="2"/>
        <charset val="0"/>
      </rPr>
      <t xml:space="preserve">.               Dilute in 5%/10% glucose                                    </t>
    </r>
    <r>
      <rPr>
        <b/>
        <sz val="8"/>
        <color theme="1"/>
        <rFont val="Arial"/>
        <family val="2"/>
        <charset val="0"/>
      </rPr>
      <t xml:space="preserve">4.2%: </t>
    </r>
    <r>
      <rPr>
        <sz val="8"/>
        <color theme="1"/>
        <rFont val="Arial"/>
        <family val="2"/>
        <charset val="0"/>
      </rPr>
      <t xml:space="preserve">Central: can give undiluted.      Peripheral: 1 in 4 dilution.                                         </t>
    </r>
    <r>
      <rPr>
        <b/>
        <sz val="8"/>
        <color theme="1"/>
        <rFont val="Arial"/>
        <family val="2"/>
        <charset val="0"/>
      </rPr>
      <t xml:space="preserve">8.4%: </t>
    </r>
    <r>
      <rPr>
        <sz val="8"/>
        <color theme="1"/>
        <rFont val="Arial"/>
        <family val="2"/>
        <charset val="0"/>
      </rPr>
      <t xml:space="preserve"> Central: 1 in 5 dilution.            Peripheral: 1 in 10 dilution              </t>
    </r>
  </si>
  <si>
    <t>OI:</t>
  </si>
  <si>
    <t>Midazolam (5mg/ml)</t>
  </si>
  <si>
    <t>0.1-0.2ml/hr =                            30-60mcg/kg/hr</t>
  </si>
  <si>
    <t>Vecuronium (2mg/ml)</t>
  </si>
  <si>
    <t>0.1-0.4ml/hr =                          30-120mcg/kg/hr</t>
  </si>
  <si>
    <t>Take 6mg/kg and dilute to 20ml with 5% glucose</t>
  </si>
  <si>
    <r>
      <t>Atracurium</t>
    </r>
    <r>
      <rPr>
        <sz val="8"/>
        <rFont val="Arial"/>
        <family val="2"/>
        <charset val="0"/>
      </rPr>
      <t xml:space="preserve"> (10mg/ml)</t>
    </r>
  </si>
  <si>
    <t>0.1-0.33ml/hr =                  120-400mcg/kg/hr</t>
  </si>
  <si>
    <t>Take 60mg/kg and dilute to 50ml with                 5% glucose/0.9% NaCl</t>
  </si>
  <si>
    <t>INTRAVENOUS FLUIDS</t>
  </si>
  <si>
    <t>GLUCOSE CONCENTRATIONS</t>
  </si>
  <si>
    <t>Rocuronium (10mg/ml)</t>
  </si>
  <si>
    <t>0.15-0.3ml/hr =                      0.3-0.6mg/kg/hr</t>
  </si>
  <si>
    <t>Take 40mg/kg and dilute to 20ml with 5% glucose</t>
  </si>
  <si>
    <t>To calculate the amount (mmol) of sodium, potassium or calcium to add to maintenance fluids:</t>
  </si>
  <si>
    <t>12.5%: Add 25ml of 50% glucose to 375ml of 10% glucose</t>
  </si>
  <si>
    <r>
      <t/>
    </r>
    <r>
      <rPr>
        <sz val="8"/>
        <color rgb="FFFF0000"/>
        <rFont val="Arial"/>
        <family val="2"/>
        <charset val="0"/>
      </rPr>
      <t>CENTRAL:</t>
    </r>
    <r>
      <rPr>
        <sz val="8"/>
        <color theme="1"/>
        <rFont val="Arial"/>
        <family val="2"/>
        <charset val="0"/>
      </rPr>
      <t xml:space="preserve"> 15%: Add 50ml of 50% glucose to 350ml of 10% glucose</t>
    </r>
  </si>
  <si>
    <t>NEUROLOGY - INFUSION</t>
  </si>
  <si>
    <r>
      <t xml:space="preserve">Total volume of glucose bag (ml) / total glucose required in 24 hours (ml) = </t>
    </r>
    <r>
      <rPr>
        <sz val="8"/>
        <color rgb="FFFF0000"/>
        <rFont val="Arial"/>
        <family val="2"/>
        <charset val="0"/>
      </rPr>
      <t>A</t>
    </r>
    <r>
      <rPr>
        <sz val="8"/>
        <color theme="1"/>
        <rFont val="Arial"/>
        <family val="2"/>
        <charset val="0"/>
      </rPr>
      <t xml:space="preserve">                                Total mmol required in 24 hours            (weight x mmol required/kg/day) = </t>
    </r>
    <r>
      <rPr>
        <sz val="8"/>
        <color rgb="FFFF0000"/>
        <rFont val="Arial"/>
        <family val="2"/>
        <charset val="0"/>
      </rPr>
      <t>B</t>
    </r>
    <r>
      <rPr>
        <sz val="8"/>
        <color theme="1"/>
        <rFont val="Arial"/>
        <family val="2"/>
        <charset val="0"/>
      </rPr>
      <t xml:space="preserve">                      </t>
    </r>
    <r>
      <rPr>
        <sz val="8"/>
        <color rgb="FFFF0000"/>
        <rFont val="Arial"/>
        <family val="2"/>
        <charset val="0"/>
      </rPr>
      <t>Total mmol to add to fluid bag = A x B</t>
    </r>
  </si>
  <si>
    <t>Drug/ampoule strength</t>
  </si>
  <si>
    <t>Infusion dose range</t>
  </si>
  <si>
    <r>
      <t/>
    </r>
    <r>
      <rPr>
        <sz val="8"/>
        <color rgb="FFFF0000"/>
        <rFont val="Arial"/>
        <family val="2"/>
        <charset val="0"/>
      </rPr>
      <t xml:space="preserve">CENTRAL: </t>
    </r>
    <r>
      <rPr>
        <sz val="8"/>
        <color theme="1"/>
        <rFont val="Arial"/>
        <family val="2"/>
        <charset val="0"/>
      </rPr>
      <t>20%: Add 125ml of 50% glucose to 375ml of 10% glucose</t>
    </r>
  </si>
  <si>
    <t>0.2-1ml/hr = 60-300 mcg/kg/hr</t>
  </si>
  <si>
    <t>Take 9mg/kg and dilute to 30ml with 0.9% NaCl/5%/10% glucose</t>
  </si>
  <si>
    <t>Glucose Concentrations greater than 12.5% must be given centrally</t>
  </si>
  <si>
    <t>CARDIAC - INFUSION</t>
  </si>
  <si>
    <t>SEDATIVE / MUSCLE RELAXANT - BOLUS</t>
  </si>
  <si>
    <t>Drugs/ Ampoule Strength</t>
  </si>
  <si>
    <t>Drug/Ampoule strength</t>
  </si>
  <si>
    <t>Comments</t>
  </si>
  <si>
    <t xml:space="preserve">Inotropes should be administered centrally.                                                                                                                                         If central access is not available, dobutamine may be used until central access can be obtained                                                                                                                             </t>
  </si>
  <si>
    <t>100mcg/kg. Dilute 1mg  to a total of 10ml with 0.9% NaCl/5%/10% glucose (100mcg/ml)</t>
  </si>
  <si>
    <t xml:space="preserve">Dopamine (40mg/ml)                      </t>
  </si>
  <si>
    <t>0.25-1ml/hr =                         5-20mcg/kg/min</t>
  </si>
  <si>
    <t>Take 60mg/kg and dilute to 50ml with                  0.9% NaCl/5% glucose</t>
  </si>
  <si>
    <t>100-200mcg/kg. Can dilute with 0.9% NaCl/5%/10% glucose</t>
  </si>
  <si>
    <t>Dobutamine          (5mg/ml or 12.5mg/ml)</t>
  </si>
  <si>
    <t>80mcg/kg. Can dilute with 5% glucose</t>
  </si>
  <si>
    <t>Adrenaline                (1mg/ml, 1:1000)</t>
  </si>
  <si>
    <t>0.2-2ml/hr =                           0.1-1mcg/kg/min</t>
  </si>
  <si>
    <t>Take 1.5mg/kg and dilute to 50ml with 0.9% NaCl/5%/10% glucose</t>
  </si>
  <si>
    <t>300-500mcg/kg. Dilute 5mg to 5ml with 0.9% NaCl/5% glucose (1mg/ml)</t>
  </si>
  <si>
    <t>Noradrenaline (1mg/ml)</t>
  </si>
  <si>
    <t>600mcg/kg. Can dilute with 0.9%NaCl/5% glucose to 0.5-1mg/ml</t>
  </si>
  <si>
    <t>Milrinone (1mg/ml)</t>
  </si>
  <si>
    <t>10mg</t>
  </si>
  <si>
    <t>0.11-0.23ml/kg/hr =    0.375-0.75mcg/kg/min</t>
  </si>
  <si>
    <t>Take 10mg and dilute to 50ml with 5% glucose/0.9% NaCl.                                     Loading dose 50-75mcg/kg over 30-60 minutes</t>
  </si>
  <si>
    <t xml:space="preserve">Pancuronium (2mg/ml) </t>
  </si>
  <si>
    <t>100mcg/kg. Additional doses can be given of 50mcg/kg. Can dilute with 0.9% NaCl/5% glucose</t>
  </si>
  <si>
    <t>NEUROLOGY - BOLUS</t>
  </si>
  <si>
    <t>CARDIOVASCULAR - BOLUS</t>
  </si>
  <si>
    <t>Comments/ Dilution (final strength)</t>
  </si>
  <si>
    <t>Comments/dilution (final strength)</t>
  </si>
  <si>
    <t>Phenobarbital (30mg/ml or 60mg/ml)</t>
  </si>
  <si>
    <t>20mg/kg. Dilute with water for injection to 15mg/ml                             Infuse over 20-30 minutes</t>
  </si>
  <si>
    <t>Rescue adrenaline  1:10,000</t>
  </si>
  <si>
    <t>Take 0.1ml/kg of 1:10,000 and dilute to 10ml with 0.9% NaCl (1mcg/kg/ml)</t>
  </si>
  <si>
    <t>After dilution</t>
  </si>
  <si>
    <t>Phenytoin (50mg/ml)</t>
  </si>
  <si>
    <t>20mg/kg. Dilute 50mg to 10ml with 0.9% NaCl  (5mg/ml). Infuse over 30 minutes with inline 0.5 micron filter. Maximum infusion rate 1mg/kg/min</t>
  </si>
  <si>
    <t>0.5-1 ml PRN</t>
  </si>
  <si>
    <t>Adenosine (3mg/ml)</t>
  </si>
  <si>
    <t>150mcg/kg. Increase dose if required every 2 minutes by 50mcg/kg (maximum 300mcg/kg). Take 3mg and dilute to 3ml with 0.9% NaCl (1mg/ml). Use a 3-way tap to enable a rapid flush</t>
  </si>
  <si>
    <t>100-200mcg/kg. Can dilute with 0.9% NaCl/5%/10% glucose.                Give over 2-3 minutes</t>
  </si>
  <si>
    <t>Lorazepam (4mg/ml)</t>
  </si>
  <si>
    <t>100mcg/kg. Take 1mg and dilute to 10ml with water for injection/ 0.9% NaCl (100 mcg/ml). Give over 1-2 minutes</t>
  </si>
  <si>
    <t xml:space="preserve">Paraldehyde (PR)                             </t>
  </si>
  <si>
    <t>0.8mls/kg of premixed paraldehyde in olive oil enema solution.                 Do not use if solution is brown or smells of vinegar</t>
  </si>
  <si>
    <t>Hydrocortisone                     (100mg vial)</t>
  </si>
  <si>
    <t>2.5mg/kg. Can dilute with 5% glucose/ 0.9% NaCl. Give over 1-3 minutes</t>
  </si>
  <si>
    <t>4.5%/5% albumin</t>
  </si>
  <si>
    <t>10-20ml/kg. Infuse over 30 minutes.  Repeat if required</t>
  </si>
  <si>
    <t>HYPOGLYCAEMIA</t>
  </si>
  <si>
    <t>0.9% NaCl</t>
  </si>
  <si>
    <t>10-20mls/kg. Infuse over 30 minutes. Repeat if required</t>
  </si>
  <si>
    <t>Dose/ Infusion dose range</t>
  </si>
  <si>
    <t>CALCULATE GLUCOSE INFUSION RATE (GIR)</t>
  </si>
  <si>
    <t>Glucagon (1mg) BOLUS IV/SC/IM</t>
  </si>
  <si>
    <t>20mcg/kg</t>
  </si>
  <si>
    <t>Reconstitute with 1.1ml water for injection (1mg/ml). Can dilute with 5% glucose</t>
  </si>
  <si>
    <t>Input required</t>
  </si>
  <si>
    <t>Calculated glucose infusion rate (GIR)</t>
  </si>
  <si>
    <t>Glucagon (1mg) INFUSION</t>
  </si>
  <si>
    <t>0.2-0.8ml/hr =                5-20mcg/kg/hr</t>
  </si>
  <si>
    <t>Reconstitute with 1.1ml water for injection (1mg/ml). Take 250mcg/kg and dilute to 10ml with 5% glucose</t>
  </si>
  <si>
    <t>Glucose fluid</t>
  </si>
  <si>
    <t>ml/kg/day</t>
  </si>
  <si>
    <t xml:space="preserve">mg/kg/min </t>
  </si>
  <si>
    <t>Concentration</t>
  </si>
  <si>
    <t>The Southampton hub SONeT drug guide has been developed to provide support to clinicians in drawing up common drugs and infusions used in the stabilisation of neonatal patients.
The guidance does not override individual responsibility of healthcare professionals to make decisions appropriate to the circumstances of the individual patients.
The drug guide does not replace clinical judgement and must only be used as an aide. All drugs must still be prescribed on the patient's chart. All drug checks must still be completed as per routine medicines administration policy
It remains the responsibility of the prescriber to ensure all doses are correctly prescribed before they are administered. Furthermore, the authors or UHS will accept neither responsibility or liability for any drug administration or dosing errors.</t>
  </si>
  <si>
    <t>V2.2 2023. Review 2026. J Weddell RNC/ M Chan, neonatal pharmacist. Source data: Southampton Children's hospital neonatal formulary, UHS neonatal unit guidelines. Checked on Excel version 2208, 2302 and microsoft 365.                                         The drug guide does not replace clinical judgement and must only be used as an aide. All drugs must still be prescribed on the patient's chart. All drug checks must still be completed as per routine medicines administration policy</t>
  </si>
  <si>
    <t>Kg (maximum 2 decimal places)</t>
  </si>
  <si>
    <t>Take 9mg/kg and dilute to 30ml with 0.9% NaCl/ 5%/10% glucose</t>
  </si>
  <si>
    <t>For patients with presumed hyperinsulism and low blood glucose level where intravenous access cannot be gained, consider administering glucagon 200mcg/kg (max 1mg) as a STAT intramuscular injection</t>
  </si>
  <si>
    <t>V2.3 2024. Review 2026. J Weddell RNC/ M Chan, neonatal pharmacist. Source data: Southampton Children's hospital neonatal formulary, UHS neonatal unit guidelines. Checked on Excel version 2208, 2302 and Microsoft 365.                                         The drug guide does not replace clinical judgement and must only be used as an aide. All drugs must still be prescribed on the patient's chart. All drug checks must still be completed as per routine medicines administration policy</t>
  </si>
</sst>
</file>

<file path=xl/styles.xml><?xml version="1.0" encoding="utf-8"?>
<styleSheet xmlns:mc="http://schemas.openxmlformats.org/markup-compatibility/2006" xmlns:x14ac="http://schemas.microsoft.com/office/spreadsheetml/2009/9/ac" xmlns="http://schemas.openxmlformats.org/spreadsheetml/2006/main" mc:Ignorable="x14ac">
  <numFmts count="5">
    <numFmt numFmtId="164" formatCode="d/m/yy;@"/>
    <numFmt numFmtId="165" formatCode="0.0"/>
    <numFmt numFmtId="166" formatCode="0.0;[Red]0.0"/>
    <numFmt numFmtId="167" formatCode="dd/mm/yyyy;;"/>
    <numFmt numFmtId="168" formatCode="dd/mm/yyyy;@"/>
  </numFmts>
  <fonts count="27">
    <font>
      <sz val="11"/>
      <color theme="1"/>
      <name val="Calibri"/>
      <family val="2"/>
      <charset val="0"/>
      <scheme val="minor"/>
    </font>
    <font>
      <sz val="8"/>
      <color theme="1"/>
      <name val="Arial"/>
      <family val="2"/>
      <charset val="0"/>
    </font>
    <font>
      <b/>
      <sz val="8"/>
      <color theme="1"/>
      <name val="Arial"/>
      <family val="2"/>
      <charset val="0"/>
    </font>
    <font>
      <sz val="8"/>
      <name val="Arial"/>
      <family val="2"/>
      <charset val="0"/>
    </font>
    <font>
      <sz val="11"/>
      <color theme="1"/>
      <name val="Calibri"/>
      <family val="2"/>
      <charset val="0"/>
      <scheme val="minor"/>
    </font>
    <font>
      <sz val="8"/>
      <color rgb="FF000000"/>
      <name val="Arial"/>
      <family val="2"/>
      <charset val="0"/>
    </font>
    <font>
      <sz val="8"/>
      <color rgb="FFFF0000"/>
      <name val="Arial"/>
      <family val="2"/>
      <charset val="0"/>
    </font>
    <font>
      <sz val="9"/>
      <color theme="1"/>
      <name val="Arial"/>
      <family val="2"/>
      <charset val="0"/>
    </font>
    <font>
      <sz val="9"/>
      <name val="Arial"/>
      <family val="2"/>
      <charset val="0"/>
    </font>
    <font>
      <b/>
      <sz val="9"/>
      <name val="Arial"/>
      <family val="2"/>
      <charset val="0"/>
    </font>
    <font>
      <b/>
      <sz val="8"/>
      <name val="Arial"/>
      <family val="2"/>
      <charset val="0"/>
    </font>
    <font>
      <b/>
      <sz val="11"/>
      <color theme="1"/>
      <name val="Arial"/>
      <family val="2"/>
      <charset val="0"/>
    </font>
    <font>
      <b/>
      <sz val="10"/>
      <color theme="1"/>
      <name val="Arial"/>
      <family val="2"/>
      <charset val="0"/>
    </font>
    <font>
      <sz val="8"/>
      <color theme="0" tint="-0.499984740745262"/>
      <name val="Arial"/>
      <family val="2"/>
      <charset val="0"/>
    </font>
    <font>
      <sz val="8"/>
      <color theme="1" tint="0.499984740745262"/>
      <name val="Arial"/>
      <family val="2"/>
      <charset val="0"/>
    </font>
    <font>
      <sz val="11"/>
      <color theme="1"/>
      <name val="Arial"/>
      <family val="2"/>
      <charset val="0"/>
    </font>
    <font>
      <sz val="9"/>
      <color theme="0" tint="-0.499984740745262"/>
      <name val="Arial"/>
      <family val="2"/>
      <charset val="0"/>
    </font>
    <font>
      <sz val="9"/>
      <color rgb="FFFF0000"/>
      <name val="Arial"/>
      <family val="2"/>
      <charset val="0"/>
    </font>
    <font>
      <sz val="8"/>
      <color theme="0" tint="-0.34998626667073579"/>
      <name val="Arial"/>
      <family val="2"/>
      <charset val="0"/>
    </font>
    <font>
      <sz val="14"/>
      <color theme="1"/>
      <name val="Arial"/>
      <family val="2"/>
      <charset val="0"/>
    </font>
    <font>
      <u val="single"/>
      <sz val="11"/>
      <color theme="10"/>
      <name val="Calibri"/>
      <family val="2"/>
      <charset val="0"/>
      <scheme val="minor"/>
    </font>
    <font>
      <sz val="8"/>
      <color theme="0"/>
      <name val="Arial"/>
      <family val="2"/>
      <charset val="0"/>
    </font>
    <font>
      <sz val="14"/>
      <color theme="1"/>
      <name val="Calibri"/>
      <family val="2"/>
      <charset val="0"/>
      <scheme val="minor"/>
    </font>
    <font>
      <sz val="11"/>
      <name val="Arial"/>
      <family val="2"/>
      <charset val="0"/>
    </font>
    <font>
      <u val="single"/>
      <sz val="8"/>
      <color theme="10"/>
      <name val="Calibri"/>
      <family val="2"/>
      <charset val="0"/>
      <scheme val="minor"/>
    </font>
    <font>
      <u val="single"/>
      <sz val="11"/>
      <color rgb="FFFF0000"/>
      <name val="Calibri"/>
      <family val="2"/>
      <charset val="0"/>
      <scheme val="minor"/>
    </font>
    <font>
      <sz val="10"/>
      <color theme="1"/>
      <name val="Arial"/>
      <family val="2"/>
      <charset val="0"/>
    </font>
  </fonts>
  <fills count="16">
    <fill>
      <patternFill patternType="none">
        <fgColor indexed="64"/>
        <bgColor indexed="65"/>
      </patternFill>
    </fill>
    <fill>
      <patternFill patternType="gray125">
        <fgColor indexed="64"/>
        <bgColor indexed="65"/>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7"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s>
  <borders count="74">
    <border>
      <left/>
      <right/>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406">
    <xf numFmtId="0" fontId="0" fillId="0" borderId="0"/>
    <xf numFmtId="0" fontId="20" fillId="0" borderId="0" applyAlignment="0" applyBorder="0" applyNumberFormat="0" applyFill="0" applyProtection="0"/>
  </cellStyleXfs>
  <cellXfs>
    <xf numFmtId="0" fontId="0" fillId="0" borderId="0" xfId="0"/>
    <xf numFmtId="0" fontId="1" fillId="0" borderId="0" xfId="0" applyAlignment="1" applyFont="1" applyProtection="1">
      <alignment horizontal="left" vertical="center" wrapText="1"/>
      <protection locked="0"/>
    </xf>
    <xf numFmtId="0" fontId="1" fillId="2" borderId="0" xfId="0" applyAlignment="1" applyFont="1" applyFill="1" applyProtection="1">
      <alignment horizontal="left" vertical="center" wrapText="1"/>
      <protection locked="0"/>
    </xf>
    <xf numFmtId="0" fontId="1" fillId="0" borderId="0" xfId="0" applyAlignment="1" applyFont="1" applyProtection="1">
      <alignment vertical="center" wrapText="1"/>
      <protection locked="0"/>
    </xf>
    <xf numFmtId="0" fontId="1" fillId="3" borderId="0" xfId="0" applyAlignment="1" applyFont="1" applyFill="1" applyProtection="1">
      <alignment horizontal="center" vertical="center" wrapText="1"/>
      <protection locked="0"/>
    </xf>
    <xf numFmtId="0" fontId="1" fillId="3" borderId="0" xfId="0" applyAlignment="1" applyFont="1" applyFill="1" applyProtection="1">
      <alignment vertical="center" wrapText="1"/>
      <protection locked="0"/>
    </xf>
    <xf numFmtId="0" fontId="1" fillId="0" borderId="0" xfId="0" applyAlignment="1" applyFont="1" applyProtection="1">
      <alignment horizontal="center" vertical="center" wrapText="1"/>
      <protection locked="0"/>
    </xf>
    <xf numFmtId="164" fontId="1" fillId="0" borderId="0" xfId="0" applyAlignment="1" applyFont="1" applyNumberFormat="1" applyProtection="1">
      <alignment horizontal="center" vertical="center" wrapText="1"/>
      <protection locked="0"/>
    </xf>
    <xf numFmtId="0" fontId="7" fillId="0" borderId="0" xfId="0" applyAlignment="1" applyFont="1" applyProtection="1">
      <alignment vertical="center" wrapText="1"/>
      <protection locked="0"/>
    </xf>
    <xf numFmtId="0" fontId="1" fillId="2" borderId="0" xfId="0" applyAlignment="1" applyFont="1" applyFill="1" applyProtection="1">
      <alignment vertical="center" wrapText="1"/>
      <protection locked="0"/>
    </xf>
    <xf numFmtId="165" fontId="1" fillId="0" borderId="0" xfId="0" applyAlignment="1" applyFont="1" applyNumberFormat="1" applyProtection="1">
      <alignment horizontal="center" vertical="center" wrapText="1"/>
      <protection locked="0"/>
    </xf>
    <xf numFmtId="0" fontId="7" fillId="3" borderId="0" xfId="0" applyAlignment="1" applyFont="1" applyFill="1" applyProtection="1">
      <alignment horizontal="center" vertical="center" wrapText="1"/>
      <protection locked="0"/>
    </xf>
    <xf numFmtId="0" fontId="1" fillId="3" borderId="0" xfId="0" applyAlignment="1" applyFont="1" applyFill="1" applyProtection="1">
      <alignment horizontal="left" vertical="center" wrapText="1"/>
      <protection locked="0"/>
    </xf>
    <xf numFmtId="0" fontId="7" fillId="2" borderId="0" xfId="0" applyAlignment="1" applyFont="1" applyFill="1">
      <alignment horizontal="center" vertical="center" wrapText="1"/>
    </xf>
    <xf numFmtId="0" fontId="7" fillId="0" borderId="0" xfId="0" applyAlignment="1" applyFont="1">
      <alignment vertical="center" wrapText="1"/>
    </xf>
    <xf numFmtId="0" fontId="1" fillId="2" borderId="0" xfId="0" applyAlignment="1" applyFont="1" applyFill="1">
      <alignment vertical="center" wrapText="1"/>
    </xf>
    <xf numFmtId="0" fontId="1" fillId="0" borderId="1" xfId="0" applyAlignment="1" applyBorder="1" applyFont="1">
      <alignment vertical="center" wrapText="1"/>
    </xf>
    <xf numFmtId="0" fontId="1" fillId="0" borderId="0" xfId="0" applyAlignment="1" applyFont="1">
      <alignment vertical="center" wrapText="1"/>
    </xf>
    <xf numFmtId="0" fontId="1" fillId="2" borderId="0" xfId="0" applyAlignment="1" applyFont="1" applyFill="1">
      <alignment horizontal="center" vertical="center" wrapText="1"/>
    </xf>
    <xf numFmtId="0" fontId="1" fillId="3" borderId="0" xfId="0" applyAlignment="1" applyFont="1" applyFill="1">
      <alignment vertical="center" wrapText="1"/>
    </xf>
    <xf numFmtId="0" fontId="1" fillId="0" borderId="0" xfId="0" applyAlignment="1" applyFont="1">
      <alignment horizontal="center" vertical="center" wrapText="1"/>
    </xf>
    <xf numFmtId="1" fontId="1" fillId="0" borderId="0" xfId="0" applyAlignment="1" applyFont="1" applyNumberFormat="1">
      <alignment horizontal="center" vertical="center" wrapText="1"/>
    </xf>
    <xf numFmtId="1" fontId="1" fillId="0" borderId="2" xfId="0" applyAlignment="1" applyBorder="1" applyFont="1" applyNumberFormat="1">
      <alignment horizontal="center" vertical="center" wrapText="1"/>
    </xf>
    <xf numFmtId="0" fontId="1" fillId="0" borderId="3" xfId="0" applyAlignment="1" applyBorder="1" applyFont="1">
      <alignment vertical="center" wrapText="1"/>
    </xf>
    <xf numFmtId="0" fontId="1" fillId="3" borderId="0" xfId="0" applyAlignment="1" applyFont="1" applyFill="1">
      <alignment horizontal="center" vertical="center" wrapText="1"/>
    </xf>
    <xf numFmtId="165" fontId="1" fillId="3" borderId="0" xfId="0" applyAlignment="1" applyFont="1" applyNumberFormat="1" applyFill="1">
      <alignment horizontal="center" vertical="center" wrapText="1"/>
    </xf>
    <xf numFmtId="0" fontId="5" fillId="3" borderId="4" xfId="0" applyAlignment="1" applyBorder="1" applyFont="1" applyFill="1">
      <alignment horizontal="center" vertical="center" wrapText="1"/>
    </xf>
    <xf numFmtId="0" fontId="1" fillId="3" borderId="5" xfId="0" applyAlignment="1" applyBorder="1" applyFont="1" applyFill="1">
      <alignment horizontal="left" vertical="center" wrapText="1"/>
    </xf>
    <xf numFmtId="0" fontId="1" fillId="3" borderId="6" xfId="0" applyAlignment="1" applyBorder="1" applyFont="1" applyFill="1">
      <alignment horizontal="left" vertical="center" wrapText="1"/>
    </xf>
    <xf numFmtId="0" fontId="1" fillId="3" borderId="7" xfId="0" applyAlignment="1" applyBorder="1" applyFont="1" applyFill="1">
      <alignment horizontal="right" vertical="center" wrapText="1"/>
    </xf>
    <xf numFmtId="0" fontId="1" fillId="3" borderId="8" xfId="0" applyAlignment="1" applyBorder="1" applyFont="1" applyFill="1">
      <alignment horizontal="right" vertical="center" wrapText="1"/>
    </xf>
    <xf numFmtId="0" fontId="1" fillId="0" borderId="9" xfId="0" applyAlignment="1" applyBorder="1" applyFont="1">
      <alignment horizontal="left" vertical="center" wrapText="1"/>
    </xf>
    <xf numFmtId="0" fontId="1" fillId="0" borderId="3" xfId="0" applyAlignment="1" applyBorder="1" applyFont="1">
      <alignment horizontal="left" vertical="center" wrapText="1"/>
    </xf>
    <xf numFmtId="0" fontId="1" fillId="2" borderId="0" xfId="0" applyAlignment="1" applyFont="1" applyFill="1">
      <alignment horizontal="left" vertical="center" wrapText="1"/>
    </xf>
    <xf numFmtId="0" fontId="1" fillId="0" borderId="0" xfId="0" applyAlignment="1" applyFont="1">
      <alignment horizontal="left" vertical="center" wrapText="1"/>
    </xf>
    <xf numFmtId="165" fontId="1" fillId="0" borderId="0" xfId="0" applyAlignment="1" applyFont="1" applyNumberFormat="1">
      <alignment horizontal="center" vertical="center" wrapText="1"/>
    </xf>
    <xf numFmtId="1" fontId="1" fillId="0" borderId="10" xfId="0" applyAlignment="1" applyBorder="1" applyFont="1" applyNumberFormat="1">
      <alignment horizontal="center" vertical="center" wrapText="1"/>
    </xf>
    <xf numFmtId="0" fontId="1" fillId="0" borderId="11" xfId="0" applyAlignment="1" applyBorder="1" applyFont="1">
      <alignment horizontal="left" vertical="center" wrapText="1"/>
    </xf>
    <xf numFmtId="0" fontId="1" fillId="0" borderId="12" xfId="0" applyAlignment="1" applyBorder="1" applyFont="1">
      <alignment horizontal="center" vertical="center" wrapText="1"/>
    </xf>
    <xf numFmtId="0" fontId="10" fillId="2" borderId="0" xfId="0" applyAlignment="1" applyFont="1" applyFill="1">
      <alignment horizontal="center" vertical="center" wrapText="1"/>
    </xf>
    <xf numFmtId="0" fontId="10" fillId="0" borderId="0" xfId="0" applyAlignment="1" applyFont="1">
      <alignment vertical="center" wrapText="1"/>
    </xf>
    <xf numFmtId="0" fontId="1" fillId="4" borderId="13" xfId="0" applyAlignment="1" applyBorder="1" applyFont="1" applyFill="1">
      <alignment horizontal="center" vertical="center" wrapText="1"/>
    </xf>
    <xf numFmtId="1" fontId="1" fillId="0" borderId="14" xfId="0" applyAlignment="1" applyBorder="1" applyFont="1" applyNumberFormat="1">
      <alignment horizontal="center" vertical="center" wrapText="1"/>
    </xf>
    <xf numFmtId="0" fontId="1" fillId="0" borderId="15" xfId="0" applyAlignment="1" applyBorder="1" applyFont="1">
      <alignment horizontal="center" vertical="center" wrapText="1"/>
    </xf>
    <xf numFmtId="0" fontId="1" fillId="0" borderId="16" xfId="0" applyAlignment="1" applyBorder="1" applyFont="1">
      <alignment horizontal="center" vertical="center" wrapText="1"/>
    </xf>
    <xf numFmtId="0" fontId="1" fillId="0" borderId="17" xfId="0" applyAlignment="1" applyBorder="1" applyFont="1">
      <alignment horizontal="center" vertical="center" wrapText="1"/>
    </xf>
    <xf numFmtId="0" fontId="1" fillId="0" borderId="18" xfId="0" applyAlignment="1" applyBorder="1" applyFont="1">
      <alignment horizontal="center" vertical="center" wrapText="1"/>
    </xf>
    <xf numFmtId="0" fontId="1" fillId="0" borderId="11" xfId="0" applyAlignment="1" applyBorder="1" applyFont="1">
      <alignment vertical="center" wrapText="1"/>
    </xf>
    <xf numFmtId="0" fontId="1" fillId="0" borderId="19" xfId="0" applyAlignment="1" applyBorder="1" applyFont="1">
      <alignment horizontal="center" vertical="center" wrapText="1"/>
    </xf>
    <xf numFmtId="0" fontId="9" fillId="3" borderId="0" xfId="0" applyAlignment="1" applyFont="1" applyFill="1">
      <alignment vertical="center" wrapText="1"/>
    </xf>
    <xf numFmtId="0" fontId="9" fillId="0" borderId="0" xfId="0" applyAlignment="1" applyFont="1">
      <alignment vertical="center" wrapText="1"/>
    </xf>
    <xf numFmtId="0" fontId="1" fillId="0" borderId="20" xfId="0" applyAlignment="1" applyBorder="1" applyFont="1">
      <alignment horizontal="center" vertical="center" wrapText="1"/>
    </xf>
    <xf numFmtId="165" fontId="1" fillId="0" borderId="10" xfId="0" applyAlignment="1" applyBorder="1" applyFont="1" applyNumberFormat="1">
      <alignment horizontal="center" vertical="center" wrapText="1"/>
    </xf>
    <xf numFmtId="0" fontId="1" fillId="3" borderId="0" xfId="0" applyAlignment="1" applyFont="1" applyFill="1">
      <alignment horizontal="left" vertical="center" wrapText="1"/>
    </xf>
    <xf numFmtId="0" fontId="1" fillId="3" borderId="20" xfId="0" applyAlignment="1" applyBorder="1" applyFont="1" applyFill="1">
      <alignment horizontal="center" vertical="center" wrapText="1"/>
    </xf>
    <xf numFmtId="0" fontId="1" fillId="3" borderId="11" xfId="0" applyAlignment="1" applyBorder="1" applyFont="1" applyFill="1">
      <alignment horizontal="left" vertical="center" wrapText="1"/>
    </xf>
    <xf numFmtId="0" fontId="5" fillId="0" borderId="16" xfId="0" applyAlignment="1" applyBorder="1" applyFont="1">
      <alignment horizontal="center" vertical="center" wrapText="1"/>
    </xf>
    <xf numFmtId="0" fontId="5" fillId="3" borderId="8" xfId="0" applyAlignment="1" applyBorder="1" applyFont="1" applyFill="1">
      <alignment horizontal="right" vertical="center"/>
    </xf>
    <xf numFmtId="165" fontId="1" fillId="0" borderId="2" xfId="0" applyAlignment="1" applyBorder="1" applyFont="1" applyNumberFormat="1">
      <alignment horizontal="center" vertical="center" wrapText="1"/>
    </xf>
    <xf numFmtId="0" fontId="1" fillId="0" borderId="8" xfId="0" applyAlignment="1" applyBorder="1" applyFont="1">
      <alignment horizontal="center" vertical="center" wrapText="1"/>
    </xf>
    <xf numFmtId="0" fontId="1" fillId="0" borderId="21" xfId="0" applyAlignment="1" applyBorder="1" applyFont="1">
      <alignment horizontal="center" vertical="center" wrapText="1"/>
    </xf>
    <xf numFmtId="165" fontId="1" fillId="0" borderId="4" xfId="0" applyAlignment="1" applyBorder="1" applyFont="1" applyNumberFormat="1">
      <alignment horizontal="center" vertical="center" wrapText="1"/>
    </xf>
    <xf numFmtId="1" fontId="1" fillId="0" borderId="22" xfId="0" applyAlignment="1" applyBorder="1" applyFont="1" applyNumberFormat="1">
      <alignment horizontal="center" vertical="center" wrapText="1"/>
    </xf>
    <xf numFmtId="0" fontId="1" fillId="0" borderId="23" xfId="0" applyAlignment="1" applyBorder="1" applyFont="1">
      <alignment vertical="center" wrapText="1"/>
    </xf>
    <xf numFmtId="0" fontId="1" fillId="0" borderId="24" xfId="0" applyAlignment="1" applyBorder="1" applyFont="1">
      <alignment vertical="center" wrapText="1"/>
    </xf>
    <xf numFmtId="0" fontId="1" fillId="5" borderId="25" xfId="0" applyAlignment="1" applyBorder="1" applyFont="1" applyFill="1">
      <alignment horizontal="center" vertical="center" wrapText="1"/>
    </xf>
    <xf numFmtId="0" fontId="1" fillId="4" borderId="15" xfId="0" applyAlignment="1" applyBorder="1" applyFont="1" applyFill="1">
      <alignment horizontal="center" vertical="center" wrapText="1"/>
    </xf>
    <xf numFmtId="0" fontId="1" fillId="3" borderId="3" xfId="0" applyAlignment="1" applyBorder="1" applyFont="1" applyFill="1">
      <alignment vertical="center" wrapText="1"/>
    </xf>
    <xf numFmtId="0" fontId="1" fillId="3" borderId="2" xfId="0" applyAlignment="1" applyBorder="1" applyFont="1" applyFill="1">
      <alignment vertical="center" wrapText="1"/>
    </xf>
    <xf numFmtId="0" fontId="1" fillId="5" borderId="15" xfId="0" applyAlignment="1" applyBorder="1" applyFont="1" applyFill="1">
      <alignment horizontal="center" vertical="center" wrapText="1"/>
    </xf>
    <xf numFmtId="165" fontId="1" fillId="6" borderId="4" xfId="0" applyAlignment="1" applyBorder="1" applyFont="1" applyNumberFormat="1" applyFill="1" applyProtection="1">
      <alignment vertical="center" wrapText="1"/>
      <protection locked="0"/>
    </xf>
    <xf numFmtId="0" fontId="1" fillId="7" borderId="26" xfId="0" applyAlignment="1" applyBorder="1" applyFont="1" applyFill="1">
      <alignment horizontal="center" vertical="center" wrapText="1"/>
    </xf>
    <xf numFmtId="0" fontId="3" fillId="7" borderId="27" xfId="0" applyAlignment="1" applyBorder="1" applyFont="1" applyFill="1">
      <alignment horizontal="center" vertical="center" wrapText="1"/>
    </xf>
    <xf numFmtId="0" fontId="3" fillId="3" borderId="6" xfId="0" applyAlignment="1" applyBorder="1" applyFont="1" applyFill="1">
      <alignment vertical="center" wrapText="1"/>
    </xf>
    <xf numFmtId="0" fontId="3" fillId="6" borderId="4" xfId="0" applyAlignment="1" applyBorder="1" applyFont="1" applyFill="1" applyProtection="1">
      <alignment vertical="center" wrapText="1"/>
      <protection locked="0"/>
    </xf>
    <xf numFmtId="0" fontId="3" fillId="6" borderId="28" xfId="0" applyAlignment="1" applyBorder="1" applyFont="1" applyFill="1" applyProtection="1">
      <alignment vertical="center" wrapText="1"/>
      <protection locked="0"/>
    </xf>
    <xf numFmtId="0" fontId="1" fillId="0" borderId="29" xfId="0" applyAlignment="1" applyBorder="1" applyFont="1">
      <alignment horizontal="center" vertical="center" wrapText="1"/>
    </xf>
    <xf numFmtId="0" fontId="1" fillId="0" borderId="30" xfId="0" applyAlignment="1" applyBorder="1" applyFont="1">
      <alignment horizontal="center" vertical="center" wrapText="1"/>
    </xf>
    <xf numFmtId="0" fontId="1" fillId="0" borderId="31" xfId="0" applyAlignment="1" applyBorder="1" applyFont="1">
      <alignment horizontal="center" vertical="center" wrapText="1"/>
    </xf>
    <xf numFmtId="0" fontId="1" fillId="7" borderId="15" xfId="0" applyAlignment="1" applyBorder="1" applyFont="1" applyFill="1">
      <alignment horizontal="center" vertical="center" wrapText="1"/>
    </xf>
    <xf numFmtId="0" fontId="1" fillId="5" borderId="29" xfId="0" applyAlignment="1" applyBorder="1" applyFont="1" applyFill="1">
      <alignment horizontal="center" vertical="center" wrapText="1"/>
    </xf>
    <xf numFmtId="0" fontId="1" fillId="5" borderId="16" xfId="0" applyAlignment="1" applyBorder="1" applyFont="1" applyFill="1">
      <alignment horizontal="center" vertical="center" wrapText="1"/>
    </xf>
    <xf numFmtId="0" fontId="3" fillId="0" borderId="32" xfId="0" applyAlignment="1" applyBorder="1" applyFont="1">
      <alignment horizontal="right" vertical="center" wrapText="1"/>
    </xf>
    <xf numFmtId="2" fontId="1" fillId="0" borderId="2" xfId="0" applyAlignment="1" applyBorder="1" applyFont="1" applyNumberFormat="1">
      <alignment horizontal="center" vertical="center" wrapText="1"/>
    </xf>
    <xf numFmtId="0" fontId="1" fillId="3" borderId="15" xfId="0" applyAlignment="1" applyBorder="1" applyFont="1" applyFill="1">
      <alignment horizontal="center" vertical="center" wrapText="1"/>
    </xf>
    <xf numFmtId="0" fontId="1" fillId="3" borderId="9" xfId="0" applyAlignment="1" applyBorder="1" applyFont="1" applyFill="1">
      <alignment horizontal="left" vertical="center" wrapText="1"/>
    </xf>
    <xf numFmtId="0" fontId="1" fillId="3" borderId="33" xfId="0" applyAlignment="1" applyBorder="1" applyFont="1" applyFill="1">
      <alignment horizontal="left" vertical="center" wrapText="1"/>
    </xf>
    <xf numFmtId="0" fontId="1" fillId="0" borderId="34" xfId="0" applyAlignment="1" applyBorder="1" applyFont="1">
      <alignment horizontal="right" vertical="center" wrapText="1"/>
    </xf>
    <xf numFmtId="0" fontId="1" fillId="0" borderId="23" xfId="0" applyAlignment="1" applyBorder="1" applyFont="1">
      <alignment horizontal="center" vertical="center" wrapText="1"/>
    </xf>
    <xf numFmtId="0" fontId="1" fillId="0" borderId="35" xfId="0" applyAlignment="1" applyBorder="1" applyFont="1">
      <alignment horizontal="center" vertical="center" wrapText="1"/>
    </xf>
    <xf numFmtId="165" fontId="1" fillId="3" borderId="35" xfId="0" applyAlignment="1" applyBorder="1" applyFont="1" applyNumberFormat="1" applyFill="1">
      <alignment horizontal="center" vertical="center" wrapText="1"/>
    </xf>
    <xf numFmtId="0" fontId="1" fillId="4" borderId="16" xfId="0" applyAlignment="1" applyBorder="1" applyFont="1" applyFill="1">
      <alignment horizontal="center" vertical="center" wrapText="1"/>
    </xf>
    <xf numFmtId="0" fontId="1" fillId="0" borderId="2" xfId="0" applyAlignment="1" applyBorder="1" applyFont="1">
      <alignment horizontal="center" vertical="center" wrapText="1"/>
    </xf>
    <xf numFmtId="0" fontId="1" fillId="0" borderId="14" xfId="0" applyAlignment="1" applyBorder="1" applyFont="1">
      <alignment horizontal="center" vertical="center" wrapText="1"/>
    </xf>
    <xf numFmtId="0" fontId="1" fillId="5" borderId="36" xfId="0" applyAlignment="1" applyBorder="1" applyFont="1" applyFill="1">
      <alignment horizontal="center" vertical="center" wrapText="1"/>
    </xf>
    <xf numFmtId="0" fontId="1" fillId="0" borderId="7" xfId="0" applyAlignment="1" applyBorder="1" applyFont="1">
      <alignment horizontal="center" vertical="center" wrapText="1"/>
    </xf>
    <xf numFmtId="0" fontId="1" fillId="0" borderId="9" xfId="0" applyAlignment="1" applyBorder="1" applyFont="1">
      <alignment vertical="center" wrapText="1"/>
    </xf>
    <xf numFmtId="0" fontId="1" fillId="5" borderId="37" xfId="0" applyAlignment="1" applyBorder="1" applyFont="1" applyFill="1">
      <alignment horizontal="center" vertical="center" wrapText="1"/>
    </xf>
    <xf numFmtId="0" fontId="1" fillId="0" borderId="38" xfId="0" applyAlignment="1" applyBorder="1" applyFont="1">
      <alignment horizontal="center" vertical="center" wrapText="1"/>
    </xf>
    <xf numFmtId="1" fontId="1" fillId="0" borderId="38" xfId="0" applyAlignment="1" applyBorder="1" applyFont="1" applyNumberFormat="1">
      <alignment horizontal="center" vertical="center" wrapText="1"/>
    </xf>
    <xf numFmtId="0" fontId="1" fillId="0" borderId="38" xfId="0" applyAlignment="1" applyBorder="1" applyFont="1">
      <alignment vertical="center" wrapText="1"/>
    </xf>
    <xf numFmtId="0" fontId="1" fillId="0" borderId="0" xfId="0" applyAlignment="1" applyFont="1" applyProtection="1">
      <alignment horizontal="left" vertical="top" wrapText="1"/>
      <protection locked="0"/>
    </xf>
    <xf numFmtId="0" fontId="22" fillId="0" borderId="0" xfId="0" applyFont="1"/>
    <xf numFmtId="0" fontId="19" fillId="4" borderId="39" xfId="0" applyAlignment="1" applyBorder="1" applyFont="1" applyFill="1">
      <alignment horizontal="right" vertical="center" wrapText="1"/>
    </xf>
    <xf numFmtId="0" fontId="21" fillId="0" borderId="0" xfId="0" applyAlignment="1" applyFont="1" applyProtection="1">
      <alignment vertical="center" wrapText="1"/>
      <protection hidden="1"/>
    </xf>
    <xf numFmtId="0" fontId="1" fillId="0" borderId="0" xfId="0" applyAlignment="1" applyFont="1" applyProtection="1">
      <alignment vertical="center" wrapText="1"/>
      <protection hidden="1"/>
    </xf>
    <xf numFmtId="0" fontId="3" fillId="0" borderId="0" xfId="0" applyAlignment="1" applyFont="1" applyProtection="1">
      <alignment vertical="center" wrapText="1"/>
      <protection hidden="1"/>
    </xf>
    <xf numFmtId="0" fontId="1" fillId="3" borderId="40" xfId="0" applyAlignment="1" applyBorder="1" applyFont="1" applyFill="1" applyProtection="1">
      <alignment horizontal="center" vertical="center" wrapText="1"/>
      <protection hidden="1"/>
    </xf>
    <xf numFmtId="0" fontId="7" fillId="0" borderId="0" xfId="0" applyAlignment="1" applyFont="1">
      <alignment horizontal="center" vertical="center" wrapText="1"/>
    </xf>
    <xf numFmtId="0" fontId="3" fillId="3" borderId="0" xfId="0" applyAlignment="1" applyFont="1" applyFill="1" applyProtection="1">
      <alignment horizontal="center" vertical="center" wrapText="1"/>
      <protection locked="0"/>
    </xf>
    <xf numFmtId="0" fontId="1" fillId="4" borderId="33" xfId="0" applyAlignment="1" applyBorder="1" applyFont="1" applyFill="1">
      <alignment horizontal="center" vertical="center" wrapText="1"/>
    </xf>
    <xf numFmtId="0" fontId="1" fillId="4" borderId="40" xfId="0" applyAlignment="1" applyBorder="1" applyFont="1" applyFill="1" applyProtection="1">
      <alignment vertical="center" wrapText="1"/>
      <protection locked="0"/>
    </xf>
    <xf numFmtId="0" fontId="12" fillId="6" borderId="29" xfId="0" applyAlignment="1" applyBorder="1" applyFont="1" applyFill="1">
      <alignment horizontal="center" vertical="center" wrapText="1"/>
    </xf>
    <xf numFmtId="0" fontId="24" fillId="8" borderId="29" xfId="1" applyAlignment="1" applyBorder="1" applyFont="1" applyFill="1">
      <alignment horizontal="center" vertical="center" wrapText="1"/>
    </xf>
    <xf numFmtId="0" fontId="19" fillId="4" borderId="41" xfId="0" applyAlignment="1" applyBorder="1" applyFont="1" applyFill="1">
      <alignment horizontal="right" vertical="center" wrapText="1"/>
    </xf>
    <xf numFmtId="0" fontId="19" fillId="3" borderId="42" xfId="0" applyAlignment="1" applyBorder="1" applyFont="1" applyFill="1" applyProtection="1">
      <alignment horizontal="center" vertical="center" wrapText="1"/>
      <protection locked="0"/>
    </xf>
    <xf numFmtId="2" fontId="19" fillId="3" borderId="29" xfId="0" applyAlignment="1" applyBorder="1" applyFont="1" applyNumberFormat="1" applyFill="1" applyProtection="1">
      <alignment horizontal="center" vertical="center" wrapText="1"/>
      <protection locked="0"/>
    </xf>
    <xf numFmtId="2" fontId="19" fillId="3" borderId="25" xfId="0" applyAlignment="1" applyBorder="1" applyFont="1" applyNumberFormat="1" applyFill="1" applyProtection="1">
      <alignment horizontal="center" vertical="center" wrapText="1"/>
      <protection locked="0"/>
    </xf>
    <xf numFmtId="2" fontId="1" fillId="3" borderId="40" xfId="0" applyAlignment="1" applyBorder="1" applyFont="1" applyNumberFormat="1" applyFill="1" applyProtection="1">
      <alignment horizontal="center" vertical="center" wrapText="1"/>
      <protection hidden="1"/>
    </xf>
    <xf numFmtId="0" fontId="1" fillId="9" borderId="43" xfId="0" applyAlignment="1" applyBorder="1" applyFont="1" applyFill="1" applyProtection="1">
      <alignment vertical="center" wrapText="1"/>
      <protection locked="0"/>
    </xf>
    <xf numFmtId="0" fontId="19" fillId="5" borderId="17" xfId="0" applyAlignment="1" applyBorder="1" applyFont="1" applyFill="1">
      <alignment horizontal="right" vertical="center" wrapText="1"/>
    </xf>
    <xf numFmtId="0" fontId="21" fillId="0" borderId="0" xfId="0" applyAlignment="1" applyBorder="1" applyFont="1" applyProtection="1">
      <alignment vertical="center" wrapText="1"/>
      <protection hidden="1"/>
    </xf>
    <xf numFmtId="0" fontId="21" fillId="0" borderId="0" xfId="0" applyAlignment="1" applyBorder="1" applyFont="1" applyProtection="1">
      <alignment horizontal="center" vertical="center" wrapText="1"/>
      <protection hidden="1"/>
    </xf>
    <xf numFmtId="165" fontId="5" fillId="3" borderId="7" xfId="0" applyAlignment="1" applyBorder="1" applyFont="1" applyNumberFormat="1" applyFill="1" applyProtection="1">
      <alignment horizontal="center" vertical="center" wrapText="1"/>
    </xf>
    <xf numFmtId="0" fontId="6" fillId="0" borderId="39" xfId="0" applyAlignment="1" applyBorder="1" applyFont="1" applyProtection="1">
      <alignment vertical="center" wrapText="1"/>
    </xf>
    <xf numFmtId="0" fontId="21" fillId="0" borderId="0" xfId="0" applyAlignment="1" applyBorder="1" applyFont="1" applyProtection="1">
      <alignment horizontal="left" vertical="top" wrapText="1"/>
    </xf>
    <xf numFmtId="0" fontId="21" fillId="0" borderId="33" xfId="0" applyAlignment="1" applyBorder="1" applyFont="1" applyProtection="1">
      <alignment vertical="center" wrapText="1"/>
    </xf>
    <xf numFmtId="0" fontId="1" fillId="0" borderId="0" xfId="0" applyAlignment="1" applyFont="1" applyProtection="1">
      <alignment vertical="center" wrapText="1"/>
    </xf>
    <xf numFmtId="0" fontId="1" fillId="0" borderId="0" xfId="0" applyAlignment="1" applyFont="1" applyProtection="1">
      <alignment horizontal="left" vertical="top" wrapText="1"/>
    </xf>
    <xf numFmtId="1" fontId="19" fillId="3" borderId="29" xfId="0" applyAlignment="1" applyBorder="1" applyFont="1" applyNumberFormat="1" applyFill="1" applyProtection="1">
      <alignment horizontal="center" vertical="center" wrapText="1"/>
      <protection locked="0"/>
    </xf>
    <xf numFmtId="168" fontId="19" fillId="3" borderId="29" xfId="0" applyAlignment="1" applyBorder="1" applyFont="1" applyNumberFormat="1" applyFill="1" applyProtection="1">
      <alignment horizontal="center" vertical="center" wrapText="1"/>
      <protection locked="0"/>
    </xf>
    <xf numFmtId="0" fontId="1" fillId="5" borderId="17" xfId="0" applyAlignment="1" applyBorder="1" applyFont="1" applyFill="1">
      <alignment horizontal="center" vertical="center" wrapText="1"/>
    </xf>
    <xf numFmtId="165" fontId="1" fillId="3" borderId="29" xfId="0" applyAlignment="1" applyBorder="1" applyFont="1" applyNumberFormat="1" applyFill="1">
      <alignment horizontal="center" vertical="center" wrapText="1"/>
    </xf>
    <xf numFmtId="0" fontId="1" fillId="3" borderId="44" xfId="0" applyAlignment="1" applyBorder="1" applyFont="1" applyFill="1">
      <alignment vertical="center" wrapText="1"/>
    </xf>
    <xf numFmtId="0" fontId="1" fillId="3" borderId="31" xfId="0" applyAlignment="1" applyBorder="1" applyFont="1" applyFill="1">
      <alignment vertical="center" wrapText="1"/>
    </xf>
    <xf numFmtId="165" fontId="1" fillId="3" borderId="45" xfId="0" applyAlignment="1" applyBorder="1" applyFont="1" applyNumberFormat="1" applyFill="1">
      <alignment horizontal="center" vertical="center" wrapText="1"/>
    </xf>
    <xf numFmtId="0" fontId="15" fillId="0" borderId="37" xfId="0" applyAlignment="1" applyBorder="1" applyFont="1" applyProtection="1">
      <alignment horizontal="center" vertical="center" wrapText="1"/>
    </xf>
    <xf numFmtId="0" fontId="26" fillId="0" borderId="46" xfId="0" applyAlignment="1" applyBorder="1" applyFont="1" applyProtection="1">
      <alignment horizontal="center" vertical="center" wrapText="1"/>
    </xf>
    <xf numFmtId="0" fontId="26" fillId="0" borderId="47" xfId="0" applyAlignment="1" applyBorder="1" applyFont="1" applyProtection="1">
      <alignment horizontal="center" vertical="center" wrapText="1"/>
    </xf>
    <xf numFmtId="0" fontId="23" fillId="9" borderId="19" xfId="0" applyAlignment="1" applyBorder="1" applyFont="1" applyFill="1" applyProtection="1">
      <alignment horizontal="center" vertical="center" wrapText="1"/>
      <protection hidden="1"/>
    </xf>
    <xf numFmtId="0" fontId="23" fillId="9" borderId="38" xfId="0" applyAlignment="1" applyBorder="1" applyFont="1" applyFill="1" applyProtection="1">
      <alignment horizontal="center" vertical="center" wrapText="1"/>
      <protection hidden="1"/>
    </xf>
    <xf numFmtId="0" fontId="6" fillId="0" borderId="37" xfId="0" applyAlignment="1" applyBorder="1" applyFont="1" applyProtection="1">
      <alignment horizontal="center" vertical="center" wrapText="1"/>
    </xf>
    <xf numFmtId="0" fontId="6" fillId="0" borderId="46" xfId="0" applyAlignment="1" applyBorder="1" applyFont="1" applyProtection="1">
      <alignment horizontal="center" vertical="center" wrapText="1"/>
    </xf>
    <xf numFmtId="0" fontId="6" fillId="0" borderId="47" xfId="0" applyAlignment="1" applyBorder="1" applyFont="1" applyProtection="1">
      <alignment horizontal="center" vertical="center" wrapText="1"/>
    </xf>
    <xf numFmtId="0" fontId="25" fillId="10" borderId="19" xfId="1" applyAlignment="1" applyBorder="1" applyFont="1" applyFill="1" applyProtection="1" quotePrefix="1">
      <alignment horizontal="center" vertical="center"/>
      <protection hidden="1" locked="0"/>
    </xf>
    <xf numFmtId="0" fontId="25" fillId="10" borderId="38" xfId="1" applyAlignment="1" applyBorder="1" applyFont="1" applyFill="1" applyProtection="1" quotePrefix="1">
      <alignment horizontal="center" vertical="center"/>
      <protection hidden="1" locked="0"/>
    </xf>
    <xf numFmtId="0" fontId="25" fillId="10" borderId="43" xfId="1" applyAlignment="1" applyBorder="1" applyFont="1" applyFill="1" applyProtection="1" quotePrefix="1">
      <alignment horizontal="center" vertical="center"/>
      <protection hidden="1" locked="0"/>
    </xf>
    <xf numFmtId="0" fontId="1" fillId="4" borderId="39" xfId="0" applyAlignment="1" applyBorder="1" applyFont="1" applyFill="1">
      <alignment horizontal="center" vertical="center" wrapText="1"/>
    </xf>
    <xf numFmtId="0" fontId="1" fillId="4" borderId="0" xfId="0" applyAlignment="1" applyBorder="1" applyFont="1" applyFill="1">
      <alignment horizontal="center" vertical="center" wrapText="1"/>
    </xf>
    <xf numFmtId="0" fontId="1" fillId="4" borderId="38" xfId="0" applyAlignment="1" applyBorder="1" applyFont="1" applyFill="1">
      <alignment horizontal="center" vertical="center" wrapText="1"/>
    </xf>
    <xf numFmtId="0" fontId="1" fillId="5" borderId="19" xfId="0" applyAlignment="1" applyBorder="1" applyFont="1" applyFill="1">
      <alignment horizontal="center" vertical="center" wrapText="1"/>
    </xf>
    <xf numFmtId="0" fontId="1" fillId="5" borderId="38" xfId="0" applyAlignment="1" applyBorder="1" applyFont="1" applyFill="1">
      <alignment horizontal="center" vertical="center" wrapText="1"/>
    </xf>
    <xf numFmtId="0" fontId="1" fillId="5" borderId="43" xfId="0" applyAlignment="1" applyBorder="1" applyFont="1" applyFill="1">
      <alignment horizontal="center" vertical="center" wrapText="1"/>
    </xf>
    <xf numFmtId="0" fontId="19" fillId="5" borderId="44" xfId="0" applyAlignment="1" applyBorder="1" applyFont="1" applyFill="1">
      <alignment vertical="center" wrapText="1"/>
    </xf>
    <xf numFmtId="0" fontId="19" fillId="5" borderId="48" xfId="0" applyAlignment="1" applyBorder="1" applyFont="1" applyFill="1">
      <alignment vertical="center" wrapText="1"/>
    </xf>
    <xf numFmtId="0" fontId="19" fillId="5" borderId="49" xfId="0" applyAlignment="1" applyBorder="1" applyFont="1" applyFill="1">
      <alignment vertical="center" wrapText="1"/>
    </xf>
    <xf numFmtId="0" fontId="1" fillId="4" borderId="41" xfId="0" applyAlignment="1" applyBorder="1" applyFont="1" applyFill="1">
      <alignment horizontal="center" vertical="center" wrapText="1"/>
    </xf>
    <xf numFmtId="0" fontId="1" fillId="4" borderId="50" xfId="0" applyAlignment="1" applyBorder="1" applyFont="1" applyFill="1">
      <alignment horizontal="center" vertical="center" wrapText="1"/>
    </xf>
    <xf numFmtId="0" fontId="1" fillId="4" borderId="51" xfId="0" applyAlignment="1" applyBorder="1" applyFont="1" applyFill="1">
      <alignment horizontal="center" vertical="center" wrapText="1"/>
    </xf>
    <xf numFmtId="0" fontId="1" fillId="4" borderId="52" xfId="0" applyAlignment="1" applyBorder="1" applyFont="1" applyFill="1">
      <alignment horizontal="center" vertical="center" wrapText="1"/>
    </xf>
    <xf numFmtId="0" fontId="1" fillId="4" borderId="53" xfId="0" applyAlignment="1" applyBorder="1" applyFont="1" applyFill="1">
      <alignment horizontal="center" vertical="center" wrapText="1"/>
    </xf>
    <xf numFmtId="0" fontId="19" fillId="4" borderId="53" xfId="0" applyAlignment="1" applyBorder="1" applyFont="1" applyFill="1">
      <alignment horizontal="left" vertical="center" wrapText="1"/>
    </xf>
    <xf numFmtId="0" fontId="19" fillId="4" borderId="0" xfId="0" applyAlignment="1" applyBorder="1" applyFont="1" applyFill="1">
      <alignment horizontal="left" vertical="center" wrapText="1"/>
    </xf>
    <xf numFmtId="0" fontId="19" fillId="4" borderId="33" xfId="0" applyAlignment="1" applyBorder="1" applyFont="1" applyFill="1">
      <alignment horizontal="left" vertical="center" wrapText="1"/>
    </xf>
    <xf numFmtId="165" fontId="1" fillId="3" borderId="53" xfId="0" applyAlignment="1" applyBorder="1" applyFont="1" applyNumberFormat="1" applyFill="1">
      <alignment horizontal="right" vertical="center" wrapText="1"/>
    </xf>
    <xf numFmtId="165" fontId="1" fillId="3" borderId="0" xfId="0" applyAlignment="1" applyFont="1" applyNumberFormat="1" applyFill="1">
      <alignment horizontal="right" vertical="center" wrapText="1"/>
    </xf>
    <xf numFmtId="0" fontId="1" fillId="0" borderId="27" xfId="0" applyAlignment="1" applyBorder="1" applyFont="1">
      <alignment horizontal="center" vertical="center" wrapText="1"/>
    </xf>
    <xf numFmtId="0" fontId="1" fillId="7" borderId="32" xfId="0" applyAlignment="1" applyBorder="1" applyFont="1" applyFill="1">
      <alignment horizontal="center" vertical="center" wrapText="1"/>
    </xf>
    <xf numFmtId="0" fontId="1" fillId="7" borderId="35" xfId="0" applyAlignment="1" applyBorder="1" applyFont="1" applyFill="1">
      <alignment horizontal="center" vertical="center" wrapText="1"/>
    </xf>
    <xf numFmtId="0" fontId="1" fillId="7" borderId="1" xfId="0" applyAlignment="1" applyBorder="1" applyFont="1" applyFill="1">
      <alignment horizontal="center" vertical="center" wrapText="1"/>
    </xf>
    <xf numFmtId="0" fontId="1" fillId="0" borderId="6" xfId="0" applyAlignment="1" applyBorder="1" applyFont="1">
      <alignment horizontal="center" vertical="center" wrapText="1"/>
    </xf>
    <xf numFmtId="0" fontId="1" fillId="0" borderId="10" xfId="0" applyAlignment="1" applyBorder="1" applyFont="1">
      <alignment horizontal="center" vertical="center" wrapText="1"/>
    </xf>
    <xf numFmtId="0" fontId="1" fillId="0" borderId="54" xfId="0" applyAlignment="1" applyBorder="1" applyFont="1">
      <alignment horizontal="center" vertical="center" wrapText="1"/>
    </xf>
    <xf numFmtId="0" fontId="9" fillId="11" borderId="37" xfId="0" applyAlignment="1" applyBorder="1" applyFont="1" applyFill="1">
      <alignment horizontal="center" vertical="center" wrapText="1"/>
    </xf>
    <xf numFmtId="0" fontId="9" fillId="11" borderId="46" xfId="0" applyAlignment="1" applyBorder="1" applyFont="1" applyFill="1">
      <alignment horizontal="center" vertical="center" wrapText="1"/>
    </xf>
    <xf numFmtId="0" fontId="9" fillId="11" borderId="47" xfId="0" applyAlignment="1" applyBorder="1" applyFont="1" applyFill="1">
      <alignment horizontal="center" vertical="center" wrapText="1"/>
    </xf>
    <xf numFmtId="0" fontId="9" fillId="12" borderId="37" xfId="0" applyAlignment="1" applyBorder="1" applyFont="1" applyFill="1">
      <alignment horizontal="center" vertical="center" wrapText="1"/>
    </xf>
    <xf numFmtId="0" fontId="9" fillId="12" borderId="46" xfId="0" applyAlignment="1" applyBorder="1" applyFont="1" applyFill="1">
      <alignment horizontal="center" vertical="center" wrapText="1"/>
    </xf>
    <xf numFmtId="0" fontId="9" fillId="12" borderId="47" xfId="0" applyAlignment="1" applyBorder="1" applyFont="1" applyFill="1">
      <alignment horizontal="center" vertical="center" wrapText="1"/>
    </xf>
    <xf numFmtId="0" fontId="9" fillId="13" borderId="37" xfId="0" applyAlignment="1" applyBorder="1" applyFont="1" applyFill="1">
      <alignment horizontal="center" vertical="center" wrapText="1"/>
    </xf>
    <xf numFmtId="0" fontId="9" fillId="13" borderId="46" xfId="0" applyAlignment="1" applyBorder="1" applyFont="1" applyFill="1">
      <alignment horizontal="center" vertical="center" wrapText="1"/>
    </xf>
    <xf numFmtId="0" fontId="9" fillId="13" borderId="47" xfId="0" applyAlignment="1" applyBorder="1" applyFont="1" applyFill="1">
      <alignment horizontal="center" vertical="center" wrapText="1"/>
    </xf>
    <xf numFmtId="0" fontId="1" fillId="4" borderId="55" xfId="0" applyAlignment="1" applyBorder="1" applyFont="1" applyFill="1">
      <alignment horizontal="center" vertical="center" wrapText="1"/>
    </xf>
    <xf numFmtId="0" fontId="1" fillId="4" borderId="56" xfId="0" applyAlignment="1" applyBorder="1" applyFont="1" applyFill="1">
      <alignment horizontal="center" vertical="center" wrapText="1"/>
    </xf>
    <xf numFmtId="0" fontId="1" fillId="4" borderId="47" xfId="0" applyAlignment="1" applyBorder="1" applyFont="1" applyFill="1">
      <alignment horizontal="center" vertical="center" wrapText="1"/>
    </xf>
    <xf numFmtId="0" fontId="1" fillId="0" borderId="32" xfId="0" applyAlignment="1" applyBorder="1" applyFont="1">
      <alignment horizontal="center" vertical="center" wrapText="1"/>
    </xf>
    <xf numFmtId="0" fontId="1" fillId="0" borderId="1" xfId="0" applyAlignment="1" applyBorder="1" applyFont="1">
      <alignment horizontal="center" vertical="center" wrapText="1"/>
    </xf>
    <xf numFmtId="0" fontId="1" fillId="5" borderId="34" xfId="0" applyAlignment="1" applyBorder="1" applyFont="1" applyFill="1">
      <alignment horizontal="center" vertical="center" wrapText="1"/>
    </xf>
    <xf numFmtId="0" fontId="1" fillId="5" borderId="35" xfId="0" applyAlignment="1" applyBorder="1" applyFont="1" applyFill="1">
      <alignment horizontal="center" vertical="center" wrapText="1"/>
    </xf>
    <xf numFmtId="0" fontId="1" fillId="5" borderId="57" xfId="0" applyAlignment="1" applyBorder="1" applyFont="1" applyFill="1">
      <alignment horizontal="center" vertical="center" wrapText="1"/>
    </xf>
    <xf numFmtId="0" fontId="1" fillId="5" borderId="32" xfId="0" applyAlignment="1" applyBorder="1" applyFont="1" applyFill="1">
      <alignment horizontal="center" vertical="center" wrapText="1"/>
    </xf>
    <xf numFmtId="0" fontId="1" fillId="5" borderId="1" xfId="0" applyAlignment="1" applyBorder="1" applyFont="1" applyFill="1">
      <alignment horizontal="center" vertical="center" wrapText="1"/>
    </xf>
    <xf numFmtId="0" fontId="8" fillId="0" borderId="2" xfId="0" applyAlignment="1" applyBorder="1" applyFont="1">
      <alignment horizontal="center" vertical="center" wrapText="1"/>
    </xf>
    <xf numFmtId="0" fontId="8" fillId="0" borderId="6" xfId="0" applyAlignment="1" applyBorder="1" applyFont="1">
      <alignment horizontal="center" vertical="center" wrapText="1"/>
    </xf>
    <xf numFmtId="0" fontId="8" fillId="0" borderId="44" xfId="0" applyAlignment="1" applyBorder="1" applyFont="1">
      <alignment horizontal="center" vertical="center" wrapText="1"/>
    </xf>
    <xf numFmtId="0" fontId="8" fillId="0" borderId="49" xfId="0" applyAlignment="1" applyBorder="1" applyFont="1">
      <alignment horizontal="center" vertical="center" wrapText="1"/>
    </xf>
    <xf numFmtId="0" fontId="3" fillId="7" borderId="8" xfId="0" applyAlignment="1" applyBorder="1" applyFont="1" applyFill="1">
      <alignment horizontal="center" vertical="center" wrapText="1"/>
    </xf>
    <xf numFmtId="0" fontId="3" fillId="7" borderId="3" xfId="0" applyAlignment="1" applyBorder="1" applyFont="1" applyFill="1">
      <alignment horizontal="center" vertical="center" wrapText="1"/>
    </xf>
    <xf numFmtId="0" fontId="8" fillId="5" borderId="2" xfId="0" applyAlignment="1" applyBorder="1" applyFont="1" applyFill="1">
      <alignment horizontal="center" vertical="center" wrapText="1"/>
    </xf>
    <xf numFmtId="0" fontId="8" fillId="5" borderId="6" xfId="0" applyAlignment="1" applyBorder="1" applyFont="1" applyFill="1">
      <alignment horizontal="center" vertical="center" wrapText="1"/>
    </xf>
    <xf numFmtId="0" fontId="9" fillId="14" borderId="37" xfId="0" applyAlignment="1" applyBorder="1" applyFont="1" applyFill="1">
      <alignment horizontal="center" vertical="center" wrapText="1"/>
    </xf>
    <xf numFmtId="0" fontId="9" fillId="14" borderId="46" xfId="0" applyAlignment="1" applyBorder="1" applyFont="1" applyFill="1">
      <alignment horizontal="center" vertical="center" wrapText="1"/>
    </xf>
    <xf numFmtId="0" fontId="9" fillId="14" borderId="47" xfId="0" applyAlignment="1" applyBorder="1" applyFont="1" applyFill="1">
      <alignment horizontal="center" vertical="center" wrapText="1"/>
    </xf>
    <xf numFmtId="0" fontId="1" fillId="4" borderId="25" xfId="0" applyAlignment="1" applyBorder="1" applyFont="1" applyFill="1">
      <alignment horizontal="center" vertical="center" wrapText="1"/>
    </xf>
    <xf numFmtId="0" fontId="1" fillId="4" borderId="58" xfId="0" applyAlignment="1" applyBorder="1" applyFont="1" applyFill="1">
      <alignment horizontal="center" vertical="center" wrapText="1"/>
    </xf>
    <xf numFmtId="0" fontId="1" fillId="0" borderId="44" xfId="0" applyAlignment="1" applyBorder="1" applyFont="1">
      <alignment horizontal="center" vertical="center" wrapText="1"/>
    </xf>
    <xf numFmtId="0" fontId="1" fillId="0" borderId="49" xfId="0" applyAlignment="1" applyBorder="1" applyFont="1">
      <alignment horizontal="center" vertical="center" wrapText="1"/>
    </xf>
    <xf numFmtId="0" fontId="1" fillId="0" borderId="53" xfId="0" applyAlignment="1" applyBorder="1" applyFont="1">
      <alignment horizontal="center" vertical="center" wrapText="1"/>
    </xf>
    <xf numFmtId="0" fontId="1" fillId="0" borderId="33" xfId="0" applyAlignment="1" applyBorder="1" applyFont="1">
      <alignment horizontal="center" vertical="center" wrapText="1"/>
    </xf>
    <xf numFmtId="0" fontId="1" fillId="0" borderId="5" xfId="0" applyAlignment="1" applyBorder="1" applyFont="1">
      <alignment horizontal="center" vertical="center" wrapText="1"/>
    </xf>
    <xf numFmtId="0" fontId="1" fillId="0" borderId="59" xfId="0" applyAlignment="1" applyBorder="1" applyFont="1">
      <alignment horizontal="center" vertical="center" wrapText="1"/>
    </xf>
    <xf numFmtId="1" fontId="1" fillId="0" borderId="53" xfId="0" applyAlignment="1" applyBorder="1" applyFont="1" applyNumberFormat="1">
      <alignment horizontal="center" vertical="center" wrapText="1"/>
    </xf>
    <xf numFmtId="0" fontId="1" fillId="0" borderId="60" xfId="0" applyAlignment="1" applyBorder="1" applyFont="1">
      <alignment horizontal="left" vertical="center" wrapText="1"/>
    </xf>
    <xf numFmtId="0" fontId="14" fillId="0" borderId="44" xfId="0" applyAlignment="1" applyBorder="1" applyFont="1">
      <alignment horizontal="center" vertical="center" wrapText="1"/>
    </xf>
    <xf numFmtId="0" fontId="14" fillId="0" borderId="31" xfId="0" applyAlignment="1" applyBorder="1" applyFont="1">
      <alignment horizontal="center" vertical="center" wrapText="1"/>
    </xf>
    <xf numFmtId="0" fontId="14" fillId="0" borderId="14" xfId="0" applyAlignment="1" applyBorder="1" applyFont="1">
      <alignment horizontal="center" vertical="center" wrapText="1"/>
    </xf>
    <xf numFmtId="0" fontId="14" fillId="0" borderId="9" xfId="0" applyAlignment="1" applyBorder="1" applyFont="1">
      <alignment horizontal="center" vertical="center" wrapText="1"/>
    </xf>
    <xf numFmtId="0" fontId="14" fillId="0" borderId="10" xfId="0" applyAlignment="1" applyBorder="1" applyFont="1">
      <alignment horizontal="center" vertical="center" wrapText="1"/>
    </xf>
    <xf numFmtId="0" fontId="14" fillId="0" borderId="11" xfId="0" applyAlignment="1" applyBorder="1" applyFont="1">
      <alignment horizontal="center" vertical="center" wrapText="1"/>
    </xf>
    <xf numFmtId="0" fontId="13" fillId="0" borderId="10" xfId="0" applyAlignment="1" applyBorder="1" applyFont="1">
      <alignment horizontal="center" vertical="center" wrapText="1"/>
    </xf>
    <xf numFmtId="0" fontId="13" fillId="0" borderId="11" xfId="0" applyAlignment="1" applyBorder="1" applyFont="1">
      <alignment horizontal="center" vertical="center" wrapText="1"/>
    </xf>
    <xf numFmtId="1" fontId="1" fillId="0" borderId="44" xfId="0" applyAlignment="1" applyBorder="1" applyFont="1" applyNumberFormat="1">
      <alignment horizontal="center" vertical="center" wrapText="1"/>
    </xf>
    <xf numFmtId="0" fontId="1" fillId="0" borderId="31" xfId="0" applyAlignment="1" applyBorder="1" applyFont="1">
      <alignment horizontal="left" vertical="center" wrapText="1"/>
    </xf>
    <xf numFmtId="0" fontId="1" fillId="0" borderId="48" xfId="0" applyAlignment="1" applyBorder="1" applyFont="1">
      <alignment horizontal="center" vertical="center" wrapText="1"/>
    </xf>
    <xf numFmtId="0" fontId="1" fillId="0" borderId="28" xfId="0" applyAlignment="1" applyBorder="1" applyFont="1">
      <alignment horizontal="center" vertical="center" wrapText="1"/>
    </xf>
    <xf numFmtId="2" fontId="2" fillId="0" borderId="44" xfId="0" applyAlignment="1" applyBorder="1" applyFont="1" applyNumberFormat="1">
      <alignment horizontal="center" vertical="center" wrapText="1"/>
    </xf>
    <xf numFmtId="2" fontId="2" fillId="0" borderId="48" xfId="0" applyAlignment="1" applyBorder="1" applyFont="1" applyNumberFormat="1">
      <alignment horizontal="center" vertical="center" wrapText="1"/>
    </xf>
    <xf numFmtId="2" fontId="2" fillId="0" borderId="31" xfId="0" applyAlignment="1" applyBorder="1" applyFont="1" applyNumberFormat="1">
      <alignment horizontal="center" vertical="center" wrapText="1"/>
    </xf>
    <xf numFmtId="2" fontId="1" fillId="0" borderId="14" xfId="0" applyAlignment="1" applyBorder="1" applyFont="1" applyNumberFormat="1">
      <alignment horizontal="center" vertical="center" wrapText="1"/>
    </xf>
    <xf numFmtId="2" fontId="1" fillId="0" borderId="28" xfId="0" applyAlignment="1" applyBorder="1" applyFont="1" applyNumberFormat="1">
      <alignment horizontal="center" vertical="center" wrapText="1"/>
    </xf>
    <xf numFmtId="2" fontId="1" fillId="0" borderId="9" xfId="0" applyAlignment="1" applyBorder="1" applyFont="1" applyNumberFormat="1">
      <alignment horizontal="center" vertical="center" wrapText="1"/>
    </xf>
    <xf numFmtId="0" fontId="13" fillId="0" borderId="2" xfId="0" applyAlignment="1" applyBorder="1" applyFont="1">
      <alignment horizontal="center" vertical="center" wrapText="1"/>
    </xf>
    <xf numFmtId="0" fontId="13" fillId="0" borderId="3" xfId="0" applyAlignment="1" applyBorder="1" applyFont="1">
      <alignment horizontal="center" vertical="center" wrapText="1"/>
    </xf>
    <xf numFmtId="0" fontId="1" fillId="0" borderId="3" xfId="0" applyAlignment="1" applyBorder="1" applyFont="1">
      <alignment horizontal="center" vertical="center" wrapText="1"/>
    </xf>
    <xf numFmtId="0" fontId="1" fillId="0" borderId="4" xfId="0" applyAlignment="1" applyBorder="1" applyFont="1">
      <alignment horizontal="center" vertical="center" wrapText="1"/>
    </xf>
    <xf numFmtId="0" fontId="13" fillId="3" borderId="2" xfId="0" applyAlignment="1" applyBorder="1" applyFont="1" applyFill="1">
      <alignment horizontal="center" vertical="center" wrapText="1"/>
    </xf>
    <xf numFmtId="0" fontId="13" fillId="3" borderId="3" xfId="0" applyAlignment="1" applyBorder="1" applyFont="1" applyFill="1">
      <alignment horizontal="center" vertical="center" wrapText="1"/>
    </xf>
    <xf numFmtId="0" fontId="13" fillId="0" borderId="44" xfId="0" applyAlignment="1" applyBorder="1" applyFont="1">
      <alignment horizontal="center" vertical="center" wrapText="1"/>
    </xf>
    <xf numFmtId="0" fontId="13" fillId="0" borderId="31" xfId="0" applyAlignment="1" applyBorder="1" applyFont="1">
      <alignment horizontal="center" vertical="center" wrapText="1"/>
    </xf>
    <xf numFmtId="0" fontId="13" fillId="0" borderId="53" xfId="0" applyAlignment="1" applyBorder="1" applyFont="1">
      <alignment horizontal="center" vertical="center" wrapText="1"/>
    </xf>
    <xf numFmtId="0" fontId="13" fillId="0" borderId="60" xfId="0" applyAlignment="1" applyBorder="1" applyFont="1">
      <alignment horizontal="center" vertical="center" wrapText="1"/>
    </xf>
    <xf numFmtId="0" fontId="13" fillId="0" borderId="14" xfId="0" applyAlignment="1" applyBorder="1" applyFont="1">
      <alignment horizontal="center" vertical="center" wrapText="1"/>
    </xf>
    <xf numFmtId="0" fontId="13" fillId="0" borderId="9" xfId="0" applyAlignment="1" applyBorder="1" applyFont="1">
      <alignment horizontal="center" vertical="center" wrapText="1"/>
    </xf>
    <xf numFmtId="0" fontId="14" fillId="3" borderId="29" xfId="0" applyAlignment="1" applyBorder="1" applyFont="1" applyFill="1">
      <alignment horizontal="center" vertical="center" wrapText="1"/>
    </xf>
    <xf numFmtId="0" fontId="1" fillId="0" borderId="2" xfId="0" applyAlignment="1" applyBorder="1" applyFont="1">
      <alignment vertical="center" wrapText="1"/>
    </xf>
    <xf numFmtId="0" fontId="1" fillId="0" borderId="4" xfId="0" applyAlignment="1" applyBorder="1" applyFont="1">
      <alignment vertical="center" wrapText="1"/>
    </xf>
    <xf numFmtId="0" fontId="1" fillId="0" borderId="6" xfId="0" applyAlignment="1" applyBorder="1" applyFont="1">
      <alignment vertical="center" wrapText="1"/>
    </xf>
    <xf numFmtId="0" fontId="1" fillId="0" borderId="22" xfId="0" applyAlignment="1" applyBorder="1" applyFont="1">
      <alignment horizontal="center" vertical="center" wrapText="1"/>
    </xf>
    <xf numFmtId="0" fontId="1" fillId="0" borderId="11" xfId="0" applyAlignment="1" applyBorder="1" applyFont="1">
      <alignment horizontal="center" vertical="center" wrapText="1"/>
    </xf>
    <xf numFmtId="0" fontId="13" fillId="3" borderId="10" xfId="0" applyAlignment="1" applyBorder="1" applyFont="1" applyFill="1">
      <alignment horizontal="center" vertical="center" wrapText="1"/>
    </xf>
    <xf numFmtId="0" fontId="13" fillId="3" borderId="22" xfId="0" applyAlignment="1" applyBorder="1" applyFont="1" applyFill="1">
      <alignment horizontal="center" vertical="center" wrapText="1"/>
    </xf>
    <xf numFmtId="0" fontId="13" fillId="3" borderId="54" xfId="0" applyAlignment="1" applyBorder="1" applyFont="1" applyFill="1">
      <alignment horizontal="center" vertical="center" wrapText="1"/>
    </xf>
    <xf numFmtId="0" fontId="8" fillId="5" borderId="4" xfId="0" applyAlignment="1" applyBorder="1" applyFont="1" applyFill="1">
      <alignment horizontal="center" vertical="center" wrapText="1"/>
    </xf>
    <xf numFmtId="0" fontId="8" fillId="5" borderId="3" xfId="0" applyAlignment="1" applyBorder="1" applyFont="1" applyFill="1">
      <alignment horizontal="center" vertical="center" wrapText="1"/>
    </xf>
    <xf numFmtId="0" fontId="16" fillId="0" borderId="2" xfId="0" applyAlignment="1" applyBorder="1" applyFont="1">
      <alignment horizontal="center" vertical="center" wrapText="1"/>
    </xf>
    <xf numFmtId="0" fontId="16" fillId="0" borderId="4" xfId="0" applyAlignment="1" applyBorder="1" applyFont="1">
      <alignment horizontal="center" vertical="center" wrapText="1"/>
    </xf>
    <xf numFmtId="0" fontId="16" fillId="0" borderId="3" xfId="0" applyAlignment="1" applyBorder="1" applyFont="1">
      <alignment horizontal="center" vertical="center" wrapText="1"/>
    </xf>
    <xf numFmtId="0" fontId="16" fillId="0" borderId="44" xfId="0" applyAlignment="1" applyBorder="1" applyFont="1">
      <alignment horizontal="center" vertical="center" wrapText="1"/>
    </xf>
    <xf numFmtId="0" fontId="16" fillId="0" borderId="48" xfId="0" applyAlignment="1" applyBorder="1" applyFont="1">
      <alignment horizontal="center" vertical="center" wrapText="1"/>
    </xf>
    <xf numFmtId="0" fontId="16" fillId="0" borderId="31" xfId="0" applyAlignment="1" applyBorder="1" applyFont="1">
      <alignment horizontal="center" vertical="center" wrapText="1"/>
    </xf>
    <xf numFmtId="0" fontId="6" fillId="3" borderId="37" xfId="0" applyAlignment="1" applyBorder="1" applyFont="1" applyFill="1">
      <alignment horizontal="center" vertical="center" wrapText="1"/>
    </xf>
    <xf numFmtId="0" fontId="6" fillId="3" borderId="46" xfId="0" applyAlignment="1" applyBorder="1" applyFont="1" applyFill="1">
      <alignment horizontal="center" vertical="center" wrapText="1"/>
    </xf>
    <xf numFmtId="0" fontId="6" fillId="3" borderId="47" xfId="0" applyAlignment="1" applyBorder="1" applyFont="1" applyFill="1">
      <alignment horizontal="center" vertical="center" wrapText="1"/>
    </xf>
    <xf numFmtId="0" fontId="1" fillId="7" borderId="61" xfId="0" applyAlignment="1" applyBorder="1" applyFont="1" applyFill="1">
      <alignment horizontal="center" vertical="center" wrapText="1"/>
    </xf>
    <xf numFmtId="0" fontId="1" fillId="7" borderId="62" xfId="0" applyAlignment="1" applyBorder="1" applyFont="1" applyFill="1">
      <alignment horizontal="center" vertical="center" wrapText="1"/>
    </xf>
    <xf numFmtId="0" fontId="14" fillId="0" borderId="29" xfId="0" applyAlignment="1" applyBorder="1" applyFont="1">
      <alignment horizontal="center" vertical="center" wrapText="1"/>
    </xf>
    <xf numFmtId="0" fontId="14" fillId="0" borderId="2" xfId="0" applyAlignment="1" applyBorder="1" applyFont="1">
      <alignment horizontal="center" vertical="center" wrapText="1"/>
    </xf>
    <xf numFmtId="0" fontId="14" fillId="0" borderId="3" xfId="0" applyAlignment="1" applyBorder="1" applyFont="1">
      <alignment horizontal="center" vertical="center" wrapText="1"/>
    </xf>
    <xf numFmtId="0" fontId="1" fillId="7" borderId="57" xfId="0" applyAlignment="1" applyBorder="1" applyFont="1" applyFill="1">
      <alignment horizontal="center" vertical="center" wrapText="1"/>
    </xf>
    <xf numFmtId="0" fontId="18" fillId="3" borderId="38" xfId="0" applyAlignment="1" applyBorder="1" applyFont="1" applyFill="1">
      <alignment horizontal="center" vertical="center" wrapText="1"/>
    </xf>
    <xf numFmtId="0" fontId="18" fillId="3" borderId="24" xfId="0" applyAlignment="1" applyBorder="1" applyFont="1" applyFill="1">
      <alignment horizontal="center" vertical="center" wrapText="1"/>
    </xf>
    <xf numFmtId="0" fontId="1" fillId="0" borderId="43" xfId="0" applyAlignment="1" applyBorder="1" applyFont="1">
      <alignment horizontal="center" vertical="center" wrapText="1"/>
    </xf>
    <xf numFmtId="0" fontId="8" fillId="3" borderId="38" xfId="0" applyAlignment="1" applyBorder="1" applyFont="1" applyFill="1">
      <alignment horizontal="center" vertical="center" wrapText="1"/>
    </xf>
    <xf numFmtId="0" fontId="8" fillId="5" borderId="8" xfId="0" applyAlignment="1" applyBorder="1" applyFont="1" applyFill="1">
      <alignment horizontal="center" vertical="center" wrapText="1"/>
    </xf>
    <xf numFmtId="0" fontId="11" fillId="3" borderId="0" xfId="0" applyAlignment="1" applyFont="1" applyFill="1">
      <alignment horizontal="center" vertical="center" wrapText="1"/>
    </xf>
    <xf numFmtId="0" fontId="1" fillId="7" borderId="42" xfId="0" applyAlignment="1" applyBorder="1" applyFont="1" applyFill="1">
      <alignment horizontal="center" vertical="center" wrapText="1"/>
    </xf>
    <xf numFmtId="0" fontId="1" fillId="7" borderId="63" xfId="0" applyAlignment="1" applyBorder="1" applyFont="1" applyFill="1">
      <alignment horizontal="center" vertical="center" wrapText="1"/>
    </xf>
    <xf numFmtId="0" fontId="7" fillId="0" borderId="0" xfId="0" applyAlignment="1" applyFont="1">
      <alignment horizontal="right" vertical="center" wrapText="1"/>
    </xf>
    <xf numFmtId="0" fontId="7" fillId="0" borderId="33" xfId="0" applyAlignment="1" applyBorder="1" applyFont="1">
      <alignment horizontal="right" vertical="center" wrapText="1"/>
    </xf>
    <xf numFmtId="0" fontId="9" fillId="12" borderId="41" xfId="0" applyAlignment="1" applyBorder="1" applyFont="1" applyFill="1">
      <alignment horizontal="center" vertical="center" wrapText="1"/>
    </xf>
    <xf numFmtId="0" fontId="9" fillId="12" borderId="50" xfId="0" applyAlignment="1" applyBorder="1" applyFont="1" applyFill="1">
      <alignment horizontal="center" vertical="center" wrapText="1"/>
    </xf>
    <xf numFmtId="0" fontId="9" fillId="12" borderId="51" xfId="0" applyAlignment="1" applyBorder="1" applyFont="1" applyFill="1">
      <alignment horizontal="center" vertical="center" wrapText="1"/>
    </xf>
    <xf numFmtId="0" fontId="18" fillId="3" borderId="29" xfId="0" applyAlignment="1" applyBorder="1" applyFont="1" applyFill="1">
      <alignment horizontal="center" vertical="center" wrapText="1"/>
    </xf>
    <xf numFmtId="0" fontId="1" fillId="3" borderId="41" xfId="0" applyAlignment="1" applyBorder="1" applyFont="1" applyFill="1" applyProtection="1">
      <alignment horizontal="center" vertical="center" wrapText="1"/>
      <protection hidden="1"/>
    </xf>
    <xf numFmtId="0" fontId="1" fillId="3" borderId="51" xfId="0" applyAlignment="1" applyBorder="1" applyFont="1" applyFill="1" applyProtection="1">
      <alignment horizontal="center" vertical="center" wrapText="1"/>
      <protection hidden="1"/>
    </xf>
    <xf numFmtId="167" fontId="1" fillId="3" borderId="37" xfId="0" applyAlignment="1" applyBorder="1" applyFont="1" applyNumberFormat="1" applyFill="1" applyProtection="1">
      <alignment horizontal="center" vertical="center" wrapText="1"/>
      <protection hidden="1"/>
    </xf>
    <xf numFmtId="167" fontId="1" fillId="3" borderId="47" xfId="0" applyAlignment="1" applyBorder="1" applyFont="1" applyNumberFormat="1" applyFill="1" applyProtection="1">
      <alignment horizontal="center" vertical="center" wrapText="1"/>
      <protection hidden="1"/>
    </xf>
    <xf numFmtId="0" fontId="8" fillId="0" borderId="41" xfId="0" applyAlignment="1" applyBorder="1" applyFont="1">
      <alignment horizontal="center" vertical="center" wrapText="1"/>
    </xf>
    <xf numFmtId="0" fontId="8" fillId="0" borderId="50" xfId="0" applyAlignment="1" applyBorder="1" applyFont="1">
      <alignment horizontal="center" vertical="center" wrapText="1"/>
    </xf>
    <xf numFmtId="0" fontId="8" fillId="0" borderId="51" xfId="0" applyAlignment="1" applyBorder="1" applyFont="1">
      <alignment horizontal="center" vertical="center" wrapText="1"/>
    </xf>
    <xf numFmtId="0" fontId="8" fillId="0" borderId="39" xfId="0" applyAlignment="1" applyBorder="1" applyFont="1">
      <alignment horizontal="center" vertical="center" wrapText="1"/>
    </xf>
    <xf numFmtId="0" fontId="8" fillId="0" borderId="0" xfId="0" applyAlignment="1" applyFont="1">
      <alignment horizontal="center" vertical="center" wrapText="1"/>
    </xf>
    <xf numFmtId="0" fontId="8" fillId="0" borderId="33" xfId="0" applyAlignment="1" applyBorder="1" applyFont="1">
      <alignment horizontal="center" vertical="center" wrapText="1"/>
    </xf>
    <xf numFmtId="165" fontId="1" fillId="0" borderId="44" xfId="0" applyAlignment="1" applyBorder="1" applyFont="1" applyNumberFormat="1">
      <alignment horizontal="center" vertical="center" wrapText="1"/>
    </xf>
    <xf numFmtId="165" fontId="1" fillId="0" borderId="14" xfId="0" applyAlignment="1" applyBorder="1" applyFont="1" applyNumberFormat="1">
      <alignment horizontal="center" vertical="center" wrapText="1"/>
    </xf>
    <xf numFmtId="165" fontId="13" fillId="0" borderId="2" xfId="0" applyAlignment="1" applyBorder="1" applyFont="1" applyNumberFormat="1">
      <alignment horizontal="center" vertical="center" wrapText="1"/>
    </xf>
    <xf numFmtId="165" fontId="13" fillId="0" borderId="3" xfId="0" applyAlignment="1" applyBorder="1" applyFont="1" applyNumberFormat="1">
      <alignment horizontal="center" vertical="center" wrapText="1"/>
    </xf>
    <xf numFmtId="165" fontId="13" fillId="0" borderId="64" xfId="0" applyAlignment="1" applyBorder="1" applyFont="1" applyNumberFormat="1">
      <alignment horizontal="center" vertical="center" wrapText="1"/>
    </xf>
    <xf numFmtId="165" fontId="13" fillId="0" borderId="65" xfId="0" applyAlignment="1" applyBorder="1" applyFont="1" applyNumberFormat="1">
      <alignment horizontal="center" vertical="center" wrapText="1"/>
    </xf>
    <xf numFmtId="165" fontId="13" fillId="0" borderId="66" xfId="0" applyAlignment="1" applyBorder="1" applyFont="1" applyNumberFormat="1">
      <alignment horizontal="center" vertical="center" wrapText="1"/>
    </xf>
    <xf numFmtId="165" fontId="13" fillId="0" borderId="67" xfId="0" applyAlignment="1" applyBorder="1" applyFont="1" applyNumberFormat="1">
      <alignment horizontal="center" vertical="center" wrapText="1"/>
    </xf>
    <xf numFmtId="165" fontId="13" fillId="0" borderId="68" xfId="0" applyAlignment="1" applyBorder="1" applyFont="1" applyNumberFormat="1">
      <alignment horizontal="center" vertical="center" wrapText="1"/>
    </xf>
    <xf numFmtId="165" fontId="13" fillId="0" borderId="69" xfId="0" applyAlignment="1" applyBorder="1" applyFont="1" applyNumberFormat="1">
      <alignment horizontal="center" vertical="center" wrapText="1"/>
    </xf>
    <xf numFmtId="0" fontId="3" fillId="4" borderId="25" xfId="0" applyAlignment="1" applyBorder="1" applyFont="1" applyFill="1">
      <alignment horizontal="center" vertical="center" wrapText="1"/>
    </xf>
    <xf numFmtId="0" fontId="14" fillId="0" borderId="25" xfId="0" applyAlignment="1" applyBorder="1" applyFont="1">
      <alignment horizontal="center" vertical="center" wrapText="1"/>
    </xf>
    <xf numFmtId="0" fontId="1" fillId="3" borderId="39" xfId="0" applyAlignment="1" applyBorder="1" applyFont="1" applyFill="1">
      <alignment horizontal="center" vertical="center" wrapText="1"/>
    </xf>
    <xf numFmtId="0" fontId="1" fillId="3" borderId="33" xfId="0" applyAlignment="1" applyBorder="1" applyFont="1" applyFill="1">
      <alignment horizontal="center" vertical="center" wrapText="1"/>
    </xf>
    <xf numFmtId="0" fontId="1" fillId="3" borderId="19" xfId="0" applyAlignment="1" applyBorder="1" applyFont="1" applyFill="1">
      <alignment horizontal="center" vertical="center" wrapText="1"/>
    </xf>
    <xf numFmtId="0" fontId="1" fillId="3" borderId="38" xfId="0" applyAlignment="1" applyBorder="1" applyFont="1" applyFill="1">
      <alignment horizontal="center" vertical="center" wrapText="1"/>
    </xf>
    <xf numFmtId="0" fontId="1" fillId="3" borderId="43" xfId="0" applyAlignment="1" applyBorder="1" applyFont="1" applyFill="1">
      <alignment horizontal="center" vertical="center" wrapText="1"/>
    </xf>
    <xf numFmtId="0" fontId="1" fillId="5" borderId="58" xfId="0" applyAlignment="1" applyBorder="1" applyFont="1" applyFill="1">
      <alignment horizontal="center" vertical="center" wrapText="1"/>
    </xf>
    <xf numFmtId="0" fontId="1" fillId="5" borderId="55" xfId="0" applyAlignment="1" applyBorder="1" applyFont="1" applyFill="1">
      <alignment horizontal="center" vertical="center" wrapText="1"/>
    </xf>
    <xf numFmtId="0" fontId="1" fillId="5" borderId="47" xfId="0" applyAlignment="1" applyBorder="1" applyFont="1" applyFill="1">
      <alignment horizontal="center" vertical="center" wrapText="1"/>
    </xf>
    <xf numFmtId="0" fontId="1" fillId="0" borderId="45" xfId="0" applyAlignment="1" applyBorder="1" applyFont="1">
      <alignment horizontal="center" vertical="center" wrapText="1"/>
    </xf>
    <xf numFmtId="0" fontId="1" fillId="0" borderId="25" xfId="0" applyAlignment="1" applyBorder="1" applyFont="1">
      <alignment horizontal="center" vertical="center" wrapText="1"/>
    </xf>
    <xf numFmtId="0" fontId="14" fillId="0" borderId="70" xfId="0" applyAlignment="1" applyBorder="1" applyFont="1">
      <alignment horizontal="center" vertical="center" wrapText="1"/>
    </xf>
    <xf numFmtId="0" fontId="1" fillId="5" borderId="27" xfId="0" applyAlignment="1" applyBorder="1" applyFont="1" applyFill="1">
      <alignment horizontal="center" vertical="center" wrapText="1"/>
    </xf>
    <xf numFmtId="166" fontId="13" fillId="3" borderId="4" xfId="0" applyAlignment="1" applyBorder="1" applyFont="1" applyNumberFormat="1" applyFill="1">
      <alignment horizontal="center" vertical="center" wrapText="1"/>
    </xf>
    <xf numFmtId="0" fontId="1" fillId="7" borderId="39" xfId="0" applyAlignment="1" applyBorder="1" applyFont="1" applyFill="1">
      <alignment horizontal="center" vertical="center" wrapText="1"/>
    </xf>
    <xf numFmtId="0" fontId="1" fillId="7" borderId="0" xfId="0" applyAlignment="1" applyFont="1" applyFill="1">
      <alignment horizontal="center" vertical="center" wrapText="1"/>
    </xf>
    <xf numFmtId="0" fontId="1" fillId="7" borderId="33" xfId="0" applyAlignment="1" applyBorder="1" applyFont="1" applyFill="1">
      <alignment horizontal="center" vertical="center" wrapText="1"/>
    </xf>
    <xf numFmtId="0" fontId="1" fillId="7" borderId="7" xfId="0" applyAlignment="1" applyBorder="1" applyFont="1" applyFill="1">
      <alignment horizontal="center" vertical="center" wrapText="1"/>
    </xf>
    <xf numFmtId="0" fontId="1" fillId="7" borderId="28" xfId="0" applyAlignment="1" applyBorder="1" applyFont="1" applyFill="1">
      <alignment horizontal="center" vertical="center" wrapText="1"/>
    </xf>
    <xf numFmtId="0" fontId="1" fillId="7" borderId="5" xfId="0" applyAlignment="1" applyBorder="1" applyFont="1" applyFill="1">
      <alignment horizontal="center" vertical="center" wrapText="1"/>
    </xf>
    <xf numFmtId="0" fontId="1" fillId="0" borderId="0" xfId="0" applyAlignment="1" applyFont="1">
      <alignment horizontal="center" wrapText="1"/>
    </xf>
    <xf numFmtId="0" fontId="1" fillId="3" borderId="41" xfId="0" applyAlignment="1" applyBorder="1" applyFont="1" applyFill="1">
      <alignment horizontal="center" vertical="center" wrapText="1"/>
    </xf>
    <xf numFmtId="0" fontId="1" fillId="3" borderId="50" xfId="0" applyAlignment="1" applyBorder="1" applyFont="1" applyFill="1">
      <alignment horizontal="center" vertical="center" wrapText="1"/>
    </xf>
    <xf numFmtId="0" fontId="1" fillId="3" borderId="51" xfId="0" applyAlignment="1" applyBorder="1" applyFont="1" applyFill="1">
      <alignment horizontal="center" vertical="center" wrapText="1"/>
    </xf>
    <xf numFmtId="1" fontId="1" fillId="3" borderId="39" xfId="0" applyAlignment="1" applyBorder="1" applyFont="1" applyNumberFormat="1" applyFill="1">
      <alignment horizontal="center" vertical="center" wrapText="1"/>
    </xf>
    <xf numFmtId="1" fontId="1" fillId="3" borderId="0" xfId="0" applyAlignment="1" applyFont="1" applyNumberFormat="1" applyFill="1">
      <alignment horizontal="center" vertical="center" wrapText="1"/>
    </xf>
    <xf numFmtId="1" fontId="1" fillId="3" borderId="33" xfId="0" applyAlignment="1" applyBorder="1" applyFont="1" applyNumberFormat="1" applyFill="1">
      <alignment horizontal="center" vertical="center" wrapText="1"/>
    </xf>
    <xf numFmtId="1" fontId="2" fillId="15" borderId="37" xfId="0" applyAlignment="1" applyBorder="1" applyFont="1" applyNumberFormat="1" applyFill="1">
      <alignment horizontal="center" vertical="center" wrapText="1"/>
    </xf>
    <xf numFmtId="1" fontId="2" fillId="15" borderId="46" xfId="0" applyAlignment="1" applyBorder="1" applyFont="1" applyNumberFormat="1" applyFill="1">
      <alignment horizontal="center" vertical="center" wrapText="1"/>
    </xf>
    <xf numFmtId="1" fontId="2" fillId="15" borderId="47" xfId="0" applyAlignment="1" applyBorder="1" applyFont="1" applyNumberFormat="1" applyFill="1">
      <alignment horizontal="center" vertical="center" wrapText="1"/>
    </xf>
    <xf numFmtId="0" fontId="1" fillId="5" borderId="26" xfId="0" applyAlignment="1" applyBorder="1" applyFont="1" applyFill="1">
      <alignment horizontal="center" vertical="center" wrapText="1"/>
    </xf>
    <xf numFmtId="0" fontId="1" fillId="5" borderId="42" xfId="0" applyAlignment="1" applyBorder="1" applyFont="1" applyFill="1">
      <alignment horizontal="center" vertical="center" wrapText="1"/>
    </xf>
    <xf numFmtId="0" fontId="1" fillId="5" borderId="45" xfId="0" applyAlignment="1" applyBorder="1" applyFont="1" applyFill="1">
      <alignment horizontal="center" vertical="center" wrapText="1"/>
    </xf>
    <xf numFmtId="0" fontId="1" fillId="5" borderId="63" xfId="0" applyAlignment="1" applyBorder="1" applyFont="1" applyFill="1">
      <alignment horizontal="center" vertical="center" wrapText="1"/>
    </xf>
    <xf numFmtId="0" fontId="1" fillId="5" borderId="71" xfId="0" applyAlignment="1" applyBorder="1" applyFont="1" applyFill="1">
      <alignment horizontal="center" vertical="center" wrapText="1"/>
    </xf>
    <xf numFmtId="0" fontId="13" fillId="3" borderId="29" xfId="0" applyAlignment="1" applyBorder="1" applyFont="1" applyFill="1">
      <alignment horizontal="center" vertical="center" wrapText="1"/>
    </xf>
    <xf numFmtId="165" fontId="1" fillId="3" borderId="44" xfId="0" applyAlignment="1" applyBorder="1" applyFont="1" applyNumberFormat="1" applyFill="1">
      <alignment horizontal="center" vertical="center" wrapText="1"/>
    </xf>
    <xf numFmtId="165" fontId="1" fillId="3" borderId="49" xfId="0" applyAlignment="1" applyBorder="1" applyFont="1" applyNumberFormat="1" applyFill="1">
      <alignment horizontal="center" vertical="center" wrapText="1"/>
    </xf>
    <xf numFmtId="165" fontId="1" fillId="3" borderId="27" xfId="0" applyAlignment="1" applyBorder="1" applyFont="1" applyNumberFormat="1" applyFill="1">
      <alignment horizontal="center" vertical="center" wrapText="1"/>
    </xf>
    <xf numFmtId="0" fontId="13" fillId="3" borderId="44" xfId="0" applyAlignment="1" applyBorder="1" applyFont="1" applyFill="1">
      <alignment horizontal="center" vertical="center" wrapText="1"/>
    </xf>
    <xf numFmtId="0" fontId="13" fillId="3" borderId="31" xfId="0" applyAlignment="1" applyBorder="1" applyFont="1" applyFill="1">
      <alignment horizontal="center" vertical="center" wrapText="1"/>
    </xf>
    <xf numFmtId="165" fontId="13" fillId="3" borderId="23" xfId="0" applyAlignment="1" applyBorder="1" applyFont="1" applyNumberFormat="1" applyFill="1">
      <alignment horizontal="center" vertical="center" wrapText="1"/>
    </xf>
    <xf numFmtId="165" fontId="13" fillId="3" borderId="38" xfId="0" applyAlignment="1" applyBorder="1" applyFont="1" applyNumberFormat="1" applyFill="1">
      <alignment horizontal="center" vertical="center" wrapText="1"/>
    </xf>
    <xf numFmtId="165" fontId="13" fillId="3" borderId="43" xfId="0" applyAlignment="1" applyBorder="1" applyFont="1" applyNumberFormat="1" applyFill="1">
      <alignment horizontal="center" vertical="center" wrapText="1"/>
    </xf>
    <xf numFmtId="0" fontId="17" fillId="0" borderId="34" xfId="0" applyAlignment="1" applyBorder="1" applyFont="1">
      <alignment horizontal="center" vertical="center" wrapText="1"/>
    </xf>
    <xf numFmtId="0" fontId="17" fillId="0" borderId="35" xfId="0" applyAlignment="1" applyBorder="1" applyFont="1">
      <alignment horizontal="center" vertical="center" wrapText="1"/>
    </xf>
    <xf numFmtId="0" fontId="17" fillId="0" borderId="1" xfId="0" applyAlignment="1" applyBorder="1" applyFont="1">
      <alignment horizontal="center" vertical="center" wrapText="1"/>
    </xf>
    <xf numFmtId="0" fontId="1" fillId="3" borderId="7" xfId="0" applyAlignment="1" applyBorder="1" applyFont="1" applyFill="1">
      <alignment horizontal="center" vertical="center" wrapText="1"/>
    </xf>
    <xf numFmtId="0" fontId="1" fillId="3" borderId="28" xfId="0" applyAlignment="1" applyBorder="1" applyFont="1" applyFill="1">
      <alignment horizontal="center" vertical="center" wrapText="1"/>
    </xf>
    <xf numFmtId="0" fontId="1" fillId="3" borderId="5" xfId="0" applyAlignment="1" applyBorder="1" applyFont="1" applyFill="1">
      <alignment horizontal="center" vertical="center" wrapText="1"/>
    </xf>
    <xf numFmtId="165" fontId="13" fillId="0" borderId="32" xfId="0" applyAlignment="1" applyBorder="1" applyFont="1" applyNumberFormat="1">
      <alignment horizontal="center" vertical="center" wrapText="1"/>
    </xf>
    <xf numFmtId="165" fontId="13" fillId="0" borderId="57" xfId="0" applyAlignment="1" applyBorder="1" applyFont="1" applyNumberFormat="1">
      <alignment horizontal="center" vertical="center" wrapText="1"/>
    </xf>
    <xf numFmtId="0" fontId="1" fillId="0" borderId="0" xfId="0" applyAlignment="1" applyFont="1">
      <alignment horizontal="left" wrapText="1"/>
    </xf>
    <xf numFmtId="0" fontId="14" fillId="0" borderId="23" xfId="0" applyAlignment="1" applyBorder="1" applyFont="1">
      <alignment horizontal="center" vertical="center" wrapText="1"/>
    </xf>
    <xf numFmtId="0" fontId="14" fillId="0" borderId="24" xfId="0" applyAlignment="1" applyBorder="1" applyFont="1">
      <alignment horizontal="center" vertical="center" wrapText="1"/>
    </xf>
    <xf numFmtId="0" fontId="1" fillId="0" borderId="72" xfId="0" applyAlignment="1" applyBorder="1" applyFont="1">
      <alignment horizontal="center" vertical="center" wrapText="1"/>
    </xf>
    <xf numFmtId="0" fontId="8" fillId="0" borderId="53" xfId="0" applyAlignment="1" applyBorder="1" applyFont="1">
      <alignment horizontal="center" vertical="center" wrapText="1"/>
    </xf>
    <xf numFmtId="0" fontId="8" fillId="0" borderId="14" xfId="0" applyAlignment="1" applyBorder="1" applyFont="1">
      <alignment horizontal="center" vertical="center" wrapText="1"/>
    </xf>
    <xf numFmtId="0" fontId="8" fillId="0" borderId="5" xfId="0" applyAlignment="1" applyBorder="1" applyFont="1">
      <alignment horizontal="center" vertical="center" wrapText="1"/>
    </xf>
    <xf numFmtId="0" fontId="9" fillId="14" borderId="41" xfId="0" applyAlignment="1" applyBorder="1" applyFont="1" applyFill="1">
      <alignment horizontal="center" vertical="center" wrapText="1"/>
    </xf>
    <xf numFmtId="0" fontId="9" fillId="14" borderId="50" xfId="0" applyAlignment="1" applyBorder="1" applyFont="1" applyFill="1">
      <alignment horizontal="center" vertical="center" wrapText="1"/>
    </xf>
    <xf numFmtId="0" fontId="9" fillId="14" borderId="51" xfId="0" applyAlignment="1" applyBorder="1" applyFont="1" applyFill="1">
      <alignment horizontal="center" vertical="center" wrapText="1"/>
    </xf>
    <xf numFmtId="1" fontId="1" fillId="0" borderId="23" xfId="0" applyAlignment="1" applyBorder="1" applyFont="1" applyNumberFormat="1">
      <alignment horizontal="center" vertical="center" wrapText="1"/>
    </xf>
    <xf numFmtId="0" fontId="1" fillId="0" borderId="24" xfId="0" applyAlignment="1" applyBorder="1" applyFont="1">
      <alignment horizontal="left" vertical="center" wrapText="1"/>
    </xf>
    <xf numFmtId="0" fontId="3" fillId="7" borderId="41" xfId="0" applyAlignment="1" applyBorder="1" applyFont="1" applyFill="1">
      <alignment horizontal="center" vertical="center" wrapText="1"/>
    </xf>
    <xf numFmtId="0" fontId="3" fillId="7" borderId="50" xfId="0" applyAlignment="1" applyBorder="1" applyFont="1" applyFill="1">
      <alignment horizontal="center" vertical="center" wrapText="1"/>
    </xf>
    <xf numFmtId="0" fontId="3" fillId="7" borderId="51" xfId="0" applyAlignment="1" applyBorder="1" applyFont="1" applyFill="1">
      <alignment horizontal="center" vertical="center" wrapText="1"/>
    </xf>
    <xf numFmtId="0" fontId="3" fillId="7" borderId="7" xfId="0" applyAlignment="1" applyBorder="1" applyFont="1" applyFill="1">
      <alignment horizontal="center" vertical="center" wrapText="1"/>
    </xf>
    <xf numFmtId="0" fontId="3" fillId="7" borderId="28" xfId="0" applyAlignment="1" applyBorder="1" applyFont="1" applyFill="1">
      <alignment horizontal="center" vertical="center" wrapText="1"/>
    </xf>
    <xf numFmtId="0" fontId="3" fillId="7" borderId="5" xfId="0" applyAlignment="1" applyBorder="1" applyFont="1" applyFill="1">
      <alignment horizontal="center" vertical="center" wrapText="1"/>
    </xf>
    <xf numFmtId="0" fontId="1" fillId="3" borderId="30" xfId="0" applyAlignment="1" applyBorder="1" applyFont="1" applyFill="1">
      <alignment horizontal="center" vertical="center" wrapText="1"/>
    </xf>
    <xf numFmtId="0" fontId="1" fillId="3" borderId="72" xfId="0" applyAlignment="1" applyBorder="1" applyFont="1" applyFill="1">
      <alignment horizontal="center" vertical="center" wrapText="1"/>
    </xf>
    <xf numFmtId="0" fontId="8" fillId="0" borderId="8" xfId="0" applyAlignment="1" applyBorder="1" applyFont="1">
      <alignment horizontal="center" vertical="center" wrapText="1"/>
    </xf>
    <xf numFmtId="0" fontId="8" fillId="0" borderId="3" xfId="0" applyAlignment="1" applyBorder="1" applyFont="1">
      <alignment horizontal="center" vertical="center" wrapText="1"/>
    </xf>
    <xf numFmtId="0" fontId="8" fillId="0" borderId="73" xfId="0" applyAlignment="1" applyBorder="1" applyFont="1">
      <alignment horizontal="center" vertical="center" wrapText="1"/>
    </xf>
    <xf numFmtId="0" fontId="8" fillId="0" borderId="31" xfId="0" applyAlignment="1" applyBorder="1" applyFont="1">
      <alignment horizontal="center" vertical="center" wrapText="1"/>
    </xf>
    <xf numFmtId="165" fontId="5" fillId="6" borderId="4" xfId="0" applyAlignment="1" applyBorder="1" applyFont="1" applyNumberFormat="1" applyFill="1" applyProtection="1">
      <alignment horizontal="center" vertical="center" wrapText="1"/>
      <protection locked="0"/>
    </xf>
    <xf numFmtId="0" fontId="8" fillId="0" borderId="60" xfId="0" applyAlignment="1" applyBorder="1" applyFont="1">
      <alignment horizontal="center" vertical="center" wrapText="1"/>
    </xf>
    <xf numFmtId="0" fontId="8" fillId="0" borderId="7" xfId="0" applyAlignment="1" applyBorder="1" applyFont="1">
      <alignment horizontal="center" vertical="center" wrapText="1"/>
    </xf>
    <xf numFmtId="0" fontId="8" fillId="0" borderId="9" xfId="0" applyAlignment="1" applyBorder="1" applyFont="1">
      <alignment horizontal="center" vertical="center" wrapText="1"/>
    </xf>
    <xf numFmtId="0" fontId="16" fillId="0" borderId="53" xfId="0" applyAlignment="1" applyBorder="1" applyFont="1">
      <alignment horizontal="center" vertical="center" wrapText="1"/>
    </xf>
    <xf numFmtId="0" fontId="16" fillId="0" borderId="0" xfId="0" applyAlignment="1" applyFont="1">
      <alignment horizontal="center" vertical="center" wrapText="1"/>
    </xf>
    <xf numFmtId="0" fontId="16" fillId="0" borderId="60" xfId="0" applyAlignment="1" applyBorder="1" applyFont="1">
      <alignment horizontal="center" vertical="center" wrapText="1"/>
    </xf>
    <xf numFmtId="0" fontId="16" fillId="0" borderId="14" xfId="0" applyAlignment="1" applyBorder="1" applyFont="1">
      <alignment horizontal="center" vertical="center" wrapText="1"/>
    </xf>
    <xf numFmtId="0" fontId="16" fillId="0" borderId="28" xfId="0" applyAlignment="1" applyBorder="1" applyFont="1">
      <alignment horizontal="center" vertical="center" wrapText="1"/>
    </xf>
    <xf numFmtId="0" fontId="16" fillId="0" borderId="9" xfId="0" applyAlignment="1" applyBorder="1" applyFont="1">
      <alignment horizontal="center" vertical="center" wrapText="1"/>
    </xf>
    <xf numFmtId="0" fontId="13" fillId="3" borderId="38" xfId="0" applyAlignment="1" applyBorder="1" applyFont="1" applyFill="1">
      <alignment horizontal="center" vertical="center" wrapText="1"/>
    </xf>
    <xf numFmtId="0" fontId="13" fillId="3" borderId="43" xfId="0" applyAlignment="1" applyBorder="1" applyFont="1" applyFill="1">
      <alignment horizontal="center" vertical="center" wrapText="1"/>
    </xf>
    <xf numFmtId="0" fontId="1" fillId="3" borderId="73" xfId="0" applyAlignment="1" applyBorder="1" applyFont="1" applyFill="1">
      <alignment horizontal="center" vertical="center" wrapText="1"/>
    </xf>
    <xf numFmtId="165" fontId="3" fillId="3" borderId="48" xfId="0" applyAlignment="1" applyBorder="1" applyFont="1" applyNumberFormat="1" applyFill="1">
      <alignment horizontal="left" vertical="center" wrapText="1"/>
    </xf>
    <xf numFmtId="165" fontId="3" fillId="3" borderId="49" xfId="0" applyAlignment="1" applyBorder="1" applyFont="1" applyNumberFormat="1" applyFill="1">
      <alignment horizontal="left" vertical="center" wrapText="1"/>
    </xf>
    <xf numFmtId="165" fontId="3" fillId="3" borderId="0" xfId="0" applyAlignment="1" applyFont="1" applyNumberFormat="1" applyFill="1">
      <alignment horizontal="left" vertical="center" wrapText="1"/>
    </xf>
    <xf numFmtId="165" fontId="3" fillId="3" borderId="33" xfId="0" applyAlignment="1" applyBorder="1" applyFont="1" applyNumberFormat="1" applyFill="1">
      <alignment horizontal="left" vertical="center" wrapText="1"/>
    </xf>
    <xf numFmtId="0" fontId="5" fillId="3" borderId="8" xfId="0" applyAlignment="1" applyBorder="1" applyFont="1" applyFill="1">
      <alignment horizontal="center" vertical="center"/>
    </xf>
    <xf numFmtId="0" fontId="5" fillId="3" borderId="4" xfId="0" applyAlignment="1" applyBorder="1" applyFont="1" applyFill="1">
      <alignment horizontal="center" vertical="center"/>
    </xf>
    <xf numFmtId="0" fontId="5" fillId="3" borderId="6" xfId="0" applyAlignment="1" applyBorder="1" applyFont="1" applyFill="1">
      <alignment horizontal="center" vertical="center"/>
    </xf>
    <xf numFmtId="1" fontId="1" fillId="6" borderId="14" xfId="0" applyAlignment="1" applyBorder="1" applyFont="1" applyNumberFormat="1" applyFill="1" applyProtection="1">
      <alignment horizontal="center" vertical="center" wrapText="1"/>
      <protection locked="0"/>
    </xf>
    <xf numFmtId="1" fontId="1" fillId="6" borderId="28" xfId="0" applyAlignment="1" applyBorder="1" applyFont="1" applyNumberFormat="1" applyFill="1" applyProtection="1">
      <alignment horizontal="center" vertical="center" wrapText="1"/>
      <protection locked="0"/>
    </xf>
    <xf numFmtId="165" fontId="1" fillId="6" borderId="10" xfId="0" applyAlignment="1" applyBorder="1" applyFont="1" applyNumberFormat="1" applyFill="1" applyProtection="1">
      <alignment horizontal="center" vertical="center" wrapText="1"/>
      <protection locked="0"/>
    </xf>
    <xf numFmtId="165" fontId="1" fillId="6" borderId="22" xfId="0" applyAlignment="1" applyBorder="1" applyFont="1" applyNumberFormat="1" applyFill="1" applyProtection="1">
      <alignment horizontal="center" vertical="center" wrapText="1"/>
      <protection locked="0"/>
    </xf>
  </cellXfs>
  <cellStyles count="2">
    <cellStyle name="Hyperlink" xfId="1" builtinId="8"/>
    <cellStyle name="Normal" xfId="0" builtinId="0"/>
  </cellStyles>
  <dxfs>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auto="1"/>
      </font>
      <fill>
        <patternFill>
          <bgColor rgb="FFFF0000"/>
        </patternFill>
      </fill>
    </dxf>
    <dxf>
      <fill>
        <patternFill>
          <bgColor rgb="FF92D050"/>
        </patternFill>
      </fill>
    </dxf>
    <dxf>
      <font>
        <color rgb="FFFFFF00"/>
      </font>
    </dxf>
    <dxf>
      <font>
        <color rgb="FFFFFF00"/>
      </font>
      <fill>
        <patternFill>
          <bgColor rgb="FFFFFF00"/>
        </patternFill>
      </fill>
    </dxf>
    <dxf>
      <fill>
        <patternFill>
          <bgColor rgb="FFFF0000"/>
        </patternFill>
      </fill>
    </dxf>
    <dxf>
      <font>
        <color theme="0"/>
      </font>
      <fill>
        <patternFill>
          <bgColor theme="0"/>
        </patternFill>
      </fill>
    </dxf>
    <dxf>
      <font>
        <color theme="0"/>
      </font>
      <fill>
        <patternFill>
          <bgColor theme="0"/>
        </patternFill>
      </fill>
    </dxf>
    <dxf>
      <font>
        <color theme="7" tint="0.59996337778862885"/>
      </font>
      <fill>
        <patternFill>
          <bgColor theme="7" tint="0.59996337778862885"/>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ont>
        <color theme="7" tint="0.59996337778862885"/>
      </font>
      <fill>
        <patternFill>
          <bgColor theme="7" tint="0.59996337778862885"/>
        </patternFill>
      </fill>
    </dxf>
    <dxf>
      <font>
        <color theme="0"/>
      </font>
      <fill>
        <patternFill>
          <bgColor theme="0"/>
        </patternFill>
      </fill>
    </dxf>
    <dxf>
      <font>
        <color theme="0"/>
      </font>
      <fill>
        <patternFill>
          <bgColor theme="0"/>
        </patternFill>
      </fill>
    </dxf>
    <dxf>
      <fill>
        <patternFill>
          <bgColor rgb="FFFF0000"/>
        </patternFill>
      </fill>
    </dxf>
    <dxf>
      <font>
        <color rgb="FFFFFF00"/>
      </font>
      <fill>
        <patternFill>
          <bgColor rgb="FFFFFF00"/>
        </patternFill>
      </fill>
    </dxf>
    <dxf>
      <font>
        <color rgb="FFFFFF00"/>
      </font>
    </dxf>
    <dxf>
      <fill>
        <patternFill>
          <bgColor rgb="FF92D050"/>
        </patternFill>
      </fill>
    </dxf>
    <dxf>
      <font>
        <color indexed="64"/>
      </font>
      <fill>
        <patternFill>
          <bgColor rgb="FFFF0000"/>
        </patternFill>
      </fill>
    </dxf>
    <dxf>
      <font>
        <color theme="0"/>
      </font>
      <fill>
        <patternFill>
          <fgColor indexed="64"/>
          <bgColor indexed="65"/>
        </patternFill>
      </fill>
    </dxf>
    <dxf>
      <font>
        <color theme="0"/>
      </font>
      <fill>
        <patternFill>
          <fgColor indexed="64"/>
          <bgColor indexed="65"/>
        </patternFill>
      </fill>
    </dxf>
    <dxf>
      <font>
        <color theme="0"/>
      </font>
      <fill>
        <patternFill>
          <fgColor indexed="64"/>
          <bgColor indexed="65"/>
        </patternFill>
      </fill>
    </dxf>
    <dxf>
      <font>
        <color theme="0"/>
      </font>
      <fill>
        <patternFill>
          <fgColor indexed="64"/>
          <bgColor indexed="65"/>
        </patternFill>
      </fill>
    </dxf>
  </dxfs>
  <tableStyles count="1" defaultTableStyle="TableStyleMedium2" defaultPivotStyle="PivotStyleLight16">
    <tableStyle name="Table Style 1" pivot="0" count="0"/>
  </tableStyles>
</styleSheet>
</file>

<file path=xl/_rels/workbook.xml.rels><?xml version="1.0" encoding="utf-8" standalone="yes"?><Relationships xmlns="http://schemas.openxmlformats.org/package/2006/relationships"><Relationship Id="rId8" Type="http://schemas.openxmlformats.org/officeDocument/2006/relationships/customXml" Target="../customXml/item1.xml" /><Relationship Id="rId9" Type="http://schemas.openxmlformats.org/officeDocument/2006/relationships/customXml" Target="../customXml/item2.xml" /><Relationship Id="rId7" Type="http://schemas.openxmlformats.org/officeDocument/2006/relationships/sheetMetadata" Target="metadata.xml" /><Relationship Id="rId10" Type="http://schemas.openxmlformats.org/officeDocument/2006/relationships/customXml" Target="../customXml/item3.xml" /><Relationship Id="rId6" Type="http://schemas.openxmlformats.org/officeDocument/2006/relationships/sharedStrings" Target="sharedStrings.xml" /><Relationship Id="rId3" Type="http://schemas.openxmlformats.org/officeDocument/2006/relationships/worksheet" Target="worksheets/sheet3.xml" /><Relationship Id="rId5" Type="http://schemas.openxmlformats.org/officeDocument/2006/relationships/styles" Target="styles.xml" /><Relationship Id="rId2" Type="http://schemas.openxmlformats.org/officeDocument/2006/relationships/worksheet" Target="worksheets/sheet2.xml" /><Relationship Id="rId4" Type="http://schemas.openxmlformats.org/officeDocument/2006/relationships/theme" Target="theme/theme1.xml" /><Relationship Id="rId1" Type="http://schemas.openxmlformats.org/officeDocument/2006/relationships/worksheet" Target="worksheets/sheet1.xml" /></Relationships>
</file>

<file path=xl/drawings/_rels/vmlDrawing1.vml.rels><?xml version="1.0" encoding="utf-8" standalone="yes"?><Relationships xmlns="http://schemas.openxmlformats.org/package/2006/relationships"><Relationship Id="rId1" Type="http://schemas.openxmlformats.org/officeDocument/2006/relationships/image" Target="/xl/media/image1.png" /></Relationships>
</file>

<file path=xl/drawings/_rels/vmlDrawing2.vml.rels><?xml version="1.0" encoding="utf-8" standalone="yes"?><Relationships xmlns="http://schemas.openxmlformats.org/package/2006/relationships"><Relationship Id="rId1" Type="http://schemas.openxmlformats.org/officeDocument/2006/relationships/image" Target="/xl/media/image1.png"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Q28"/>
  <sheetViews>
    <sheetView showGridLines="0" view="normal" tabSelected="1" workbookViewId="0">
      <selection pane="topLeft" activeCell="C9" sqref="C9"/>
    </sheetView>
  </sheetViews>
  <sheetFormatPr defaultRowHeight="11.25"/>
  <cols>
    <col min="1" max="1" width="15.84765625" style="3" customWidth="1"/>
    <col min="2" max="2" width="17.84765625" style="3" customWidth="1"/>
    <col min="3" max="3" width="15.5703125" style="101" customWidth="1"/>
    <col min="4" max="4" width="12.5703125" style="3" customWidth="1"/>
    <col min="5" max="5" width="5" style="3" customWidth="1"/>
    <col min="6" max="6" width="14" style="3" customWidth="1"/>
    <col min="7" max="7" width="12.140625" style="3" customWidth="1"/>
    <col min="8" max="8" width="21.84765625" style="3" customWidth="1"/>
    <col min="9" max="9" width="1.13671875" style="3" customWidth="1"/>
    <col min="10" max="10" width="11.84765625" style="3" customWidth="1"/>
    <col min="11" max="11" width="4.27734375" style="3" customWidth="1"/>
    <col min="12" max="12" width="3.84765625" style="3" customWidth="1"/>
    <col min="13" max="13" width="8.140625" style="3" customWidth="1"/>
    <col min="14" max="14" width="4.84765625" style="3" customWidth="1"/>
    <col min="15" max="15" width="4.5703125" style="3" customWidth="1"/>
    <col min="16" max="16" width="20" style="3" customWidth="1"/>
    <col min="17" max="17" width="0.28125" style="3" customWidth="1"/>
    <col min="18" max="16384" width="9.140625" style="3" customWidth="1"/>
  </cols>
  <sheetData>
    <row r="1" ht="16.5" customHeight="1" thickBot="1"/>
    <row r="2" spans="2:7" ht="21.75" customHeight="1" hidden="1">
      <c r="B2" s="156"/>
      <c r="C2" s="157"/>
      <c r="D2" s="157"/>
      <c r="E2" s="157"/>
      <c r="F2" s="157"/>
      <c r="G2" s="158"/>
    </row>
    <row r="3" spans="2:7" ht="27.75" customHeight="1">
      <c r="B3" s="114" t="s">
        <v>0</v>
      </c>
      <c r="C3" s="115"/>
      <c r="D3" s="159"/>
      <c r="E3" s="157"/>
      <c r="F3" s="157"/>
      <c r="G3" s="158"/>
    </row>
    <row r="4" spans="2:7" ht="4.5" customHeight="1" hidden="1" thickBot="1">
      <c r="B4" s="147"/>
      <c r="C4" s="148"/>
      <c r="D4" s="148"/>
      <c r="E4" s="110"/>
      <c r="F4" s="111"/>
      <c r="G4" s="110"/>
    </row>
    <row r="5" spans="2:7" ht="16.5" customHeight="1">
      <c r="B5" s="103" t="s">
        <v>1</v>
      </c>
      <c r="C5" s="130"/>
      <c r="D5" s="160"/>
      <c r="E5" s="148"/>
      <c r="F5" s="148"/>
      <c r="G5" s="110"/>
    </row>
    <row r="6" spans="2:7" ht="14.25" customHeight="1" hidden="1">
      <c r="B6" s="147"/>
      <c r="C6" s="148"/>
      <c r="D6" s="148"/>
      <c r="E6" s="148"/>
      <c r="F6" s="148"/>
      <c r="G6" s="110"/>
    </row>
    <row r="7" spans="2:7" ht="25.5" customHeight="1">
      <c r="B7" s="103" t="s">
        <v>2</v>
      </c>
      <c r="C7" s="129"/>
      <c r="D7" s="161" t="s">
        <v>3</v>
      </c>
      <c r="E7" s="162"/>
      <c r="F7" s="162"/>
      <c r="G7" s="163"/>
    </row>
    <row r="8" spans="2:7" ht="13.5" customHeight="1" hidden="1">
      <c r="B8" s="147"/>
      <c r="C8" s="148"/>
      <c r="D8" s="148"/>
      <c r="E8" s="148"/>
      <c r="F8" s="148"/>
      <c r="G8" s="110"/>
    </row>
    <row r="9" spans="2:7" ht="33.75" customHeight="1">
      <c r="B9" s="103" t="s">
        <v>4</v>
      </c>
      <c r="C9" s="116"/>
      <c r="D9" s="161" t="s">
        <v>182</v>
      </c>
      <c r="E9" s="162"/>
      <c r="F9" s="162"/>
      <c r="G9" s="163"/>
    </row>
    <row r="10" spans="2:7" ht="7.5" customHeight="1" hidden="1" thickBot="1">
      <c r="B10" s="147"/>
      <c r="C10" s="149"/>
      <c r="D10" s="148"/>
      <c r="E10" s="148"/>
      <c r="F10" s="148"/>
      <c r="G10" s="110"/>
    </row>
    <row r="11" spans="2:7" ht="36" customHeight="1">
      <c r="B11" s="120" t="s">
        <v>5</v>
      </c>
      <c r="C11" s="117"/>
      <c r="D11" s="153" t="s">
        <v>182</v>
      </c>
      <c r="E11" s="154"/>
      <c r="F11" s="154"/>
      <c r="G11" s="155"/>
    </row>
    <row r="12" spans="2:7" ht="12" thickBot="1">
      <c r="B12" s="150"/>
      <c r="C12" s="151"/>
      <c r="D12" s="151"/>
      <c r="E12" s="151"/>
      <c r="F12" s="151"/>
      <c r="G12" s="152"/>
    </row>
    <row r="13" spans="2:7" ht="12" thickBot="1">
      <c r="B13" s="141" t="b">
        <f>(C9)=(C11)</f>
        <v>1</v>
      </c>
      <c r="C13" s="142"/>
      <c r="D13" s="142"/>
      <c r="E13" s="142"/>
      <c r="F13" s="142"/>
      <c r="G13" s="143"/>
    </row>
    <row r="14" spans="2:7" ht="23.25" thickBot="1">
      <c r="B14" s="139" t="str">
        <f t="array" aca="true" ref="B14">_xlfn.IFS(F15="11",F19,B13=TRUE,G18,B13=FALSE,F18)</f>
        <v>PLEASE FILL IN WEIGHT &amp; CHECK WEIGHT</v>
      </c>
      <c r="C14" s="140"/>
      <c r="D14" s="140"/>
      <c r="E14" s="140"/>
      <c r="F14" s="140"/>
      <c r="G14" s="119" t="s">
        <v>10</v>
      </c>
    </row>
    <row r="15" spans="2:7" ht="0.75" customHeight="1">
      <c r="B15" s="124"/>
      <c r="C15" s="125"/>
      <c r="D15" s="121">
        <f>COUNTBLANK(C11)</f>
        <v>1</v>
      </c>
      <c r="E15" s="121">
        <f>COUNTBLANK(C9)</f>
        <v>1</v>
      </c>
      <c r="F15" s="122" t="str">
        <f>_xlfn.CONCAT(D15:E15)</f>
        <v>11</v>
      </c>
      <c r="G15" s="126"/>
    </row>
    <row r="16" spans="2:7" ht="15.75" thickBot="1">
      <c r="B16" s="144" t="s">
        <v>6</v>
      </c>
      <c r="C16" s="145"/>
      <c r="D16" s="145"/>
      <c r="E16" s="145"/>
      <c r="F16" s="145"/>
      <c r="G16" s="146"/>
    </row>
    <row r="17" spans="2:7" ht="9" customHeight="1" hidden="1">
      <c r="B17" s="127"/>
      <c r="C17" s="128"/>
      <c r="D17" s="105"/>
      <c r="E17" s="105"/>
      <c r="F17" s="106"/>
      <c r="G17" s="106"/>
    </row>
    <row r="18" spans="2:7" ht="293.25" customHeight="1" hidden="1">
      <c r="B18" s="127"/>
      <c r="C18" s="128"/>
      <c r="D18" s="105"/>
      <c r="E18" s="104"/>
      <c r="F18" s="104" t="s">
        <v>7</v>
      </c>
      <c r="G18" s="104" t="s">
        <v>8</v>
      </c>
    </row>
    <row r="19" spans="2:7" ht="33.75" hidden="1">
      <c r="B19" s="127"/>
      <c r="C19" s="128"/>
      <c r="D19" s="105"/>
      <c r="E19" s="104"/>
      <c r="F19" s="104" t="s">
        <v>9</v>
      </c>
      <c r="G19" s="104"/>
    </row>
    <row r="20" spans="2:7" hidden="1">
      <c r="B20" s="127"/>
      <c r="C20" s="128"/>
      <c r="D20" s="105"/>
      <c r="E20" s="105"/>
      <c r="F20" s="105"/>
      <c r="G20" s="105"/>
    </row>
    <row r="21" spans="2:7" ht="210.75" customHeight="1" thickBot="1">
      <c r="B21" s="136" t="s">
        <v>180</v>
      </c>
      <c r="C21" s="137"/>
      <c r="D21" s="137"/>
      <c r="E21" s="137"/>
      <c r="F21" s="137"/>
      <c r="G21" s="138"/>
    </row>
    <row r="22" spans="4:7">
      <c r="D22" s="105"/>
      <c r="E22" s="105"/>
      <c r="F22" s="105"/>
      <c r="G22" s="105"/>
    </row>
    <row r="23" spans="4:7">
      <c r="D23" s="105"/>
      <c r="E23" s="105"/>
      <c r="F23" s="105"/>
      <c r="G23" s="105"/>
    </row>
    <row r="24" spans="4:7">
      <c r="D24" s="105"/>
      <c r="E24" s="105"/>
      <c r="F24" s="105"/>
      <c r="G24" s="105"/>
    </row>
    <row r="25" spans="4:7">
      <c r="D25" s="105"/>
      <c r="E25" s="105"/>
      <c r="F25" s="105"/>
      <c r="G25" s="105"/>
    </row>
    <row r="26" spans="4:7">
      <c r="D26" s="105"/>
      <c r="E26" s="105"/>
      <c r="F26" s="105"/>
      <c r="G26" s="105"/>
    </row>
    <row r="27" spans="6:7">
      <c r="F27" s="105"/>
      <c r="G27" s="105"/>
    </row>
    <row r="28" spans="6:7">
      <c r="F28" s="105"/>
      <c r="G28" s="105"/>
    </row>
  </sheetData>
  <sheetProtection algorithmName="SHA-512" hashValue="D70TYgT0deETOEPfe1hJa11eZDnt/fSEvrCUBpIRZuQAn1aaqOK1WUSO634aSkk73TI/utS1bvdluyZ55plz0w==" saltValue="CblCxg++vm9PyBOBi+cRgg==" spinCount="100000" sheet="1" insertRows="0" selectLockedCells="1" sort="0"/>
  <mergeCells count="15">
    <mergeCell ref="B2:G2"/>
    <mergeCell ref="D3:G3"/>
    <mergeCell ref="D5:G5"/>
    <mergeCell ref="D7:G7"/>
    <mergeCell ref="D9:G9"/>
    <mergeCell ref="B4:E4"/>
    <mergeCell ref="B21:G21"/>
    <mergeCell ref="B14:F14"/>
    <mergeCell ref="B13:G13"/>
    <mergeCell ref="B16:G16"/>
    <mergeCell ref="B6:G6"/>
    <mergeCell ref="B8:G8"/>
    <mergeCell ref="B10:G10"/>
    <mergeCell ref="B12:G12"/>
    <mergeCell ref="D11:G11"/>
  </mergeCells>
  <conditionalFormatting sqref="B13">
    <cfRule type="containsText" dxfId="14" operator="containsText" text="True" priority="17">
      <formula>NOT(ISERROR(SEARCH("True",B13)))</formula>
    </cfRule>
    <cfRule type="containsText" dxfId="15" operator="containsText" text="False" priority="18">
      <formula>NOT(ISERROR(SEARCH("False",B13)))</formula>
    </cfRule>
  </conditionalFormatting>
  <conditionalFormatting sqref="B13:G13">
    <cfRule type="expression" dxfId="16" priority="2">
      <formula>$F$15="11"</formula>
    </cfRule>
  </conditionalFormatting>
  <conditionalFormatting sqref="B16:G16">
    <cfRule type="expression" dxfId="17" priority="4">
      <formula>$F$15="11"</formula>
    </cfRule>
    <cfRule type="expression" dxfId="18" priority="6">
      <formula>$B$13=FALSE</formula>
    </cfRule>
  </conditionalFormatting>
  <conditionalFormatting sqref="C9 C11">
    <cfRule type="uniqueValues" dxfId="19" priority="14"/>
  </conditionalFormatting>
  <conditionalFormatting sqref="G14">
    <cfRule type="expression" dxfId="20" priority="5">
      <formula>$B$13=FALSE</formula>
    </cfRule>
    <cfRule type="expression" dxfId="21" priority="10">
      <formula>$D$15=1</formula>
    </cfRule>
    <cfRule type="cellIs" dxfId="22" operator="equal" priority="15">
      <formula>"Yes"</formula>
    </cfRule>
    <cfRule type="cellIs" dxfId="23" operator="equal" priority="16">
      <formula>"no"</formula>
    </cfRule>
  </conditionalFormatting>
  <dataValidations count="3">
    <dataValidation type="decimal" allowBlank="1" showInputMessage="1" showErrorMessage="1" sqref="C11 C9">
      <formula1>0.2</formula1>
      <formula2>7</formula2>
    </dataValidation>
    <dataValidation type="whole" allowBlank="1" showInputMessage="1" showErrorMessage="1" sqref="C7">
      <formula1>21</formula1>
      <formula2>45</formula2>
    </dataValidation>
    <dataValidation type="list" allowBlank="1" showInputMessage="1" showErrorMessage="1" sqref="G14">
      <formula1>Sheet1!$A$1:$A$3</formula1>
    </dataValidation>
  </dataValidations>
  <hyperlinks>
    <hyperlink ref="B16:G16" location="'Wessex Drug Guide V2.2'!A1" display="'Click here to open Wessex Drug Guide"/>
  </hyperlinks>
  <pageMargins left="0" right="0" top="0" bottom="0" header="0" footer="0"/>
  <pageSetup paperSize="11" orientation="landscape"/>
  <headerFooter scaleWithDoc="1" alignWithMargins="1" differentFirst="0" differentOddEven="0">
    <oddHeader>&amp;L&amp;9&amp;G&amp;C&amp;F</oddHeader>
  </headerFooter>
  <legacyDrawingHF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3"/>
  <sheetViews>
    <sheetView view="normal" workbookViewId="0">
      <selection pane="topLeft" activeCell="A1" sqref="A1"/>
    </sheetView>
  </sheetViews>
  <sheetFormatPr defaultRowHeight="15"/>
  <cols>
    <col min="1" max="1" width="17.7109375" customWidth="1"/>
  </cols>
  <sheetData>
    <row r="1" spans="1:1">
      <c r="A1" t="s">
        <v>10</v>
      </c>
    </row>
    <row r="2" spans="1:1" ht="18.75">
      <c r="A2" s="102" t="s">
        <v>11</v>
      </c>
    </row>
    <row r="3" spans="1:1" ht="18.75">
      <c r="A3" s="102" t="s">
        <v>12</v>
      </c>
    </row>
  </sheetData>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Q63"/>
  <sheetViews>
    <sheetView topLeftCell="A43" showGridLines="0" zoomScale="125" view="pageLayout" workbookViewId="0">
      <selection pane="topLeft" activeCell="I57" sqref="I57"/>
    </sheetView>
  </sheetViews>
  <sheetFormatPr defaultRowHeight="11.25"/>
  <cols>
    <col min="1" max="1" width="15.84765625" style="3" customWidth="1"/>
    <col min="2" max="2" width="6.5703125" style="3" customWidth="1"/>
    <col min="3" max="3" width="4" style="3" customWidth="1"/>
    <col min="4" max="4" width="6.84765625" style="3" customWidth="1"/>
    <col min="5" max="5" width="5" style="3" customWidth="1"/>
    <col min="6" max="6" width="15.140625" style="3" customWidth="1"/>
    <col min="7" max="7" width="9.84765625" style="3" customWidth="1"/>
    <col min="8" max="8" width="21.84765625" style="3" customWidth="1"/>
    <col min="9" max="9" width="1.13671875" style="3" customWidth="1"/>
    <col min="10" max="10" width="11.84765625" style="3" customWidth="1"/>
    <col min="11" max="11" width="4.27734375" style="3" customWidth="1"/>
    <col min="12" max="12" width="3.84765625" style="3" customWidth="1"/>
    <col min="13" max="13" width="8.140625" style="3" customWidth="1"/>
    <col min="14" max="14" width="4.84765625" style="3" customWidth="1"/>
    <col min="15" max="15" width="4.5703125" style="3" customWidth="1"/>
    <col min="16" max="16" width="20" style="3" customWidth="1"/>
    <col min="17" max="17" width="0.28125" style="3" customWidth="1"/>
    <col min="18" max="16384" width="9.140625" style="3" customWidth="1"/>
  </cols>
  <sheetData>
    <row r="1" spans="1:16" ht="12" customHeight="1" thickBot="1">
      <c r="A1" s="108" t="s">
        <v>0</v>
      </c>
      <c r="B1" s="283">
        <f>'Patient information entry'!C3</f>
        <v>0</v>
      </c>
      <c r="C1" s="284"/>
      <c r="D1" s="277" t="s">
        <v>4</v>
      </c>
      <c r="E1" s="278"/>
      <c r="F1" s="118">
        <f>IF('Patient information entry'!G14="yes",'Patient information entry'!C11,0)</f>
        <v>0</v>
      </c>
      <c r="G1" s="34" t="s">
        <v>13</v>
      </c>
      <c r="H1" s="113" t="s">
        <v>14</v>
      </c>
      <c r="I1" s="33"/>
      <c r="J1" s="274" t="s">
        <v>15</v>
      </c>
      <c r="K1" s="274"/>
      <c r="L1" s="274"/>
      <c r="M1" s="274"/>
      <c r="N1" s="274"/>
      <c r="O1" s="274"/>
      <c r="P1" s="274"/>
    </row>
    <row r="2" spans="1:16" ht="10.5" customHeight="1" thickBot="1">
      <c r="A2" s="108" t="s">
        <v>16</v>
      </c>
      <c r="B2" s="285">
        <f>'Patient information entry'!C5</f>
        <v>0</v>
      </c>
      <c r="C2" s="286"/>
      <c r="D2" s="277" t="s">
        <v>17</v>
      </c>
      <c r="E2" s="278"/>
      <c r="F2" s="107">
        <f>'Patient information entry'!C7</f>
        <v>0</v>
      </c>
      <c r="G2" s="34" t="s">
        <v>18</v>
      </c>
      <c r="H2" s="112" t="s">
        <v>19</v>
      </c>
      <c r="I2" s="2"/>
      <c r="J2" s="274"/>
      <c r="K2" s="274"/>
      <c r="L2" s="274"/>
      <c r="M2" s="274"/>
      <c r="N2" s="274"/>
      <c r="O2" s="274"/>
      <c r="P2" s="274"/>
    </row>
    <row r="3" spans="1:13" ht="3" customHeight="1" thickBot="1">
      <c r="A3" s="6"/>
      <c r="B3" s="6"/>
      <c r="C3" s="7"/>
      <c r="F3" s="6"/>
      <c r="G3" s="6"/>
      <c r="H3" s="1"/>
      <c r="I3" s="2"/>
      <c r="J3" s="4"/>
      <c r="K3" s="4"/>
      <c r="L3" s="5"/>
      <c r="M3" s="5"/>
    </row>
    <row r="4" spans="1:16" s="14" customFormat="1" customHeight="1" thickBot="1">
      <c r="A4" s="279" t="s">
        <v>20</v>
      </c>
      <c r="B4" s="280"/>
      <c r="C4" s="280"/>
      <c r="D4" s="280"/>
      <c r="E4" s="280"/>
      <c r="F4" s="280"/>
      <c r="G4" s="280"/>
      <c r="H4" s="281"/>
      <c r="I4" s="13"/>
      <c r="J4" s="176" t="s">
        <v>21</v>
      </c>
      <c r="K4" s="177"/>
      <c r="L4" s="177"/>
      <c r="M4" s="177"/>
      <c r="N4" s="177"/>
      <c r="O4" s="177"/>
      <c r="P4" s="178"/>
    </row>
    <row r="5" spans="1:16" s="17" customFormat="1" ht="20.25" customHeight="1">
      <c r="A5" s="71" t="s">
        <v>22</v>
      </c>
      <c r="B5" s="275" t="s">
        <v>23</v>
      </c>
      <c r="C5" s="275"/>
      <c r="D5" s="275" t="s">
        <v>24</v>
      </c>
      <c r="E5" s="275"/>
      <c r="F5" s="275" t="s">
        <v>25</v>
      </c>
      <c r="G5" s="275"/>
      <c r="H5" s="276"/>
      <c r="I5" s="15"/>
      <c r="J5" s="87" t="s">
        <v>26</v>
      </c>
      <c r="K5" s="89">
        <f>(F1*3)+9</f>
        <v>9</v>
      </c>
      <c r="L5" s="89" t="s">
        <v>27</v>
      </c>
      <c r="M5" s="89"/>
      <c r="N5" s="82" t="s">
        <v>28</v>
      </c>
      <c r="O5" s="90">
        <f>(1.5*F1)+5.5</f>
        <v>5.5</v>
      </c>
      <c r="P5" s="16" t="s">
        <v>27</v>
      </c>
    </row>
    <row r="6" spans="1:16" s="17" customFormat="1" ht="21.75" customHeight="1" thickBot="1">
      <c r="A6" s="44" t="s">
        <v>29</v>
      </c>
      <c r="B6" s="243" t="str">
        <f>F1&amp;"kg x 0.2ml"</f>
        <v>0kg x 0.2ml</v>
      </c>
      <c r="C6" s="243"/>
      <c r="D6" s="83">
        <f>0.2*F1</f>
        <v>0</v>
      </c>
      <c r="E6" s="23" t="s">
        <v>30</v>
      </c>
      <c r="F6" s="76" t="s">
        <v>31</v>
      </c>
      <c r="G6" s="76"/>
      <c r="H6" s="166"/>
      <c r="I6" s="18"/>
      <c r="J6" s="60" t="s">
        <v>32</v>
      </c>
      <c r="K6" s="247"/>
      <c r="L6" s="247"/>
      <c r="M6" s="248"/>
      <c r="N6" s="249" t="str">
        <f>+"UVC: ("&amp;F1&amp;" x 1.5) + 5.5cm.                                      UAC: ("&amp;F1&amp;" x 3) + 9cm"</f>
        <v>UVC: (0 x 1.5) + 5.5cm.                                      UAC: (0 x 3) + 9cm</v>
      </c>
      <c r="O6" s="250"/>
      <c r="P6" s="251"/>
    </row>
    <row r="7" spans="1:16" s="17" customFormat="1" customHeight="1" thickBot="1">
      <c r="A7" s="44" t="s">
        <v>33</v>
      </c>
      <c r="B7" s="243" t="str">
        <f>F1&amp;"kg x 2.5ml"</f>
        <v>0kg x 2.5ml</v>
      </c>
      <c r="C7" s="243"/>
      <c r="D7" s="58">
        <f>2.5*F1</f>
        <v>0</v>
      </c>
      <c r="E7" s="23" t="s">
        <v>30</v>
      </c>
      <c r="F7" s="76" t="s">
        <v>34</v>
      </c>
      <c r="G7" s="76"/>
      <c r="H7" s="166"/>
      <c r="I7" s="18"/>
      <c r="J7" s="20"/>
      <c r="K7" s="20"/>
      <c r="L7" s="20"/>
      <c r="M7" s="20"/>
      <c r="N7" s="20"/>
      <c r="O7" s="20"/>
      <c r="P7" s="20"/>
    </row>
    <row r="8" spans="1:16" s="17" customFormat="1" ht="20.25" customHeight="1" thickBot="1">
      <c r="A8" s="44" t="s">
        <v>35</v>
      </c>
      <c r="B8" s="243" t="str">
        <f>F1&amp;"kg x 2ml-4ml"</f>
        <v>0kg x 2ml-4ml</v>
      </c>
      <c r="C8" s="243"/>
      <c r="D8" s="58" t="str">
        <f>(2*F1)&amp;"-"&amp;(4*F1)</f>
        <v>0-0</v>
      </c>
      <c r="E8" s="23" t="s">
        <v>30</v>
      </c>
      <c r="F8" s="76" t="s">
        <v>36</v>
      </c>
      <c r="G8" s="76"/>
      <c r="H8" s="166"/>
      <c r="I8" s="18"/>
      <c r="J8" s="200" t="s">
        <v>37</v>
      </c>
      <c r="K8" s="201"/>
      <c r="L8" s="201"/>
      <c r="M8" s="201"/>
      <c r="N8" s="201"/>
      <c r="O8" s="201"/>
      <c r="P8" s="202"/>
    </row>
    <row r="9" spans="1:16" s="17" customFormat="1" ht="21" customHeight="1">
      <c r="A9" s="44" t="s">
        <v>38</v>
      </c>
      <c r="B9" s="243" t="str">
        <f>F1&amp;"kg x 2ml"</f>
        <v>0kg x 2ml</v>
      </c>
      <c r="C9" s="243"/>
      <c r="D9" s="58">
        <f>2*F1</f>
        <v>0</v>
      </c>
      <c r="E9" s="23" t="s">
        <v>30</v>
      </c>
      <c r="F9" s="76" t="s">
        <v>39</v>
      </c>
      <c r="G9" s="76"/>
      <c r="H9" s="166"/>
      <c r="I9" s="18"/>
      <c r="J9" s="287" t="s">
        <v>40</v>
      </c>
      <c r="K9" s="288"/>
      <c r="L9" s="288"/>
      <c r="M9" s="288"/>
      <c r="N9" s="288"/>
      <c r="O9" s="288"/>
      <c r="P9" s="289"/>
    </row>
    <row r="10" spans="1:16" s="17" customFormat="1" ht="3.75" customHeight="1">
      <c r="A10" s="44" t="s">
        <v>41</v>
      </c>
      <c r="B10" s="282" t="str">
        <f>F1&amp;"kg x 10mcg"</f>
        <v>0kg x 10mcg</v>
      </c>
      <c r="C10" s="282"/>
      <c r="D10" s="22">
        <f>10*F1</f>
        <v>0</v>
      </c>
      <c r="E10" s="32" t="s">
        <v>42</v>
      </c>
      <c r="F10" s="76" t="s">
        <v>43</v>
      </c>
      <c r="G10" s="76"/>
      <c r="H10" s="166"/>
      <c r="I10" s="18"/>
      <c r="J10" s="290"/>
      <c r="K10" s="291"/>
      <c r="L10" s="291"/>
      <c r="M10" s="291"/>
      <c r="N10" s="291"/>
      <c r="O10" s="291"/>
      <c r="P10" s="292"/>
    </row>
    <row r="11" spans="1:16" s="17" customFormat="1" ht="17.25" customHeight="1">
      <c r="A11" s="44"/>
      <c r="B11" s="282"/>
      <c r="C11" s="282"/>
      <c r="D11" s="22"/>
      <c r="E11" s="32"/>
      <c r="F11" s="76"/>
      <c r="G11" s="76"/>
      <c r="H11" s="166"/>
      <c r="I11" s="18"/>
      <c r="J11" s="273" t="s">
        <v>44</v>
      </c>
      <c r="K11" s="253"/>
      <c r="L11" s="198" t="s">
        <v>23</v>
      </c>
      <c r="M11" s="252"/>
      <c r="N11" s="253"/>
      <c r="O11" s="198" t="s">
        <v>45</v>
      </c>
      <c r="P11" s="199"/>
    </row>
    <row r="12" spans="1:16" s="17" customFormat="1" ht="21" customHeight="1" thickBot="1">
      <c r="A12" s="51" t="s">
        <v>46</v>
      </c>
      <c r="B12" s="269" t="s">
        <v>47</v>
      </c>
      <c r="C12" s="270"/>
      <c r="D12" s="99">
        <v>200</v>
      </c>
      <c r="E12" s="64" t="s">
        <v>42</v>
      </c>
      <c r="F12" s="88" t="s">
        <v>48</v>
      </c>
      <c r="G12" s="98"/>
      <c r="H12" s="271"/>
      <c r="I12" s="18"/>
      <c r="J12" s="376" t="s">
        <v>49</v>
      </c>
      <c r="K12" s="377"/>
      <c r="L12" s="254" t="str">
        <f>F1&amp;"kg x 0.3ml/hr"</f>
        <v>0kg x 0.3ml/hr</v>
      </c>
      <c r="M12" s="255"/>
      <c r="N12" s="256"/>
      <c r="O12" s="192" t="str">
        <f>IF(ISBLANK(F1),"",(0.3*F1)&amp;"ml/hr")</f>
        <v>0ml/hr</v>
      </c>
      <c r="P12" s="193"/>
    </row>
    <row r="13" spans="1:16" s="17" customFormat="1" ht="4.5" customHeight="1" thickBot="1">
      <c r="A13" s="20"/>
      <c r="B13" s="20"/>
      <c r="C13" s="20"/>
      <c r="D13" s="21"/>
      <c r="E13" s="100"/>
      <c r="F13" s="98"/>
      <c r="G13" s="20"/>
      <c r="H13" s="20"/>
      <c r="I13" s="18"/>
      <c r="J13" s="290" t="s">
        <v>50</v>
      </c>
      <c r="K13" s="381"/>
      <c r="L13" s="384" t="str">
        <f>F1&amp;"kg x 0.6ml/hr"</f>
        <v>0kg x 0.6ml/hr</v>
      </c>
      <c r="M13" s="385"/>
      <c r="N13" s="386"/>
      <c r="O13" s="360" t="str">
        <f>IF(ISBLANK(F1),"",(0.6*F1)&amp;"ml/hr")</f>
        <v>0ml/hr</v>
      </c>
      <c r="P13" s="292"/>
    </row>
    <row r="14" spans="1:16" s="17" customFormat="1" ht="13.5" customHeight="1" thickBot="1">
      <c r="A14" s="176" t="s">
        <v>51</v>
      </c>
      <c r="B14" s="177"/>
      <c r="C14" s="177"/>
      <c r="D14" s="177"/>
      <c r="E14" s="177"/>
      <c r="F14" s="177"/>
      <c r="G14" s="177"/>
      <c r="H14" s="178"/>
      <c r="I14" s="18"/>
      <c r="J14" s="382"/>
      <c r="K14" s="383"/>
      <c r="L14" s="387"/>
      <c r="M14" s="388"/>
      <c r="N14" s="389"/>
      <c r="O14" s="361"/>
      <c r="P14" s="362"/>
    </row>
    <row r="15" spans="1:16" s="17" customFormat="1" ht="21" customHeight="1">
      <c r="A15" s="79" t="s">
        <v>52</v>
      </c>
      <c r="B15" s="263" t="s">
        <v>23</v>
      </c>
      <c r="C15" s="264"/>
      <c r="D15" s="167" t="s">
        <v>24</v>
      </c>
      <c r="E15" s="268"/>
      <c r="F15" s="167" t="s">
        <v>53</v>
      </c>
      <c r="G15" s="168"/>
      <c r="H15" s="169"/>
      <c r="I15" s="18"/>
      <c r="J15" s="376" t="s">
        <v>54</v>
      </c>
      <c r="K15" s="377"/>
      <c r="L15" s="254" t="str">
        <f>F1&amp;"kg x 1.2ml/hr"</f>
        <v>0kg x 1.2ml/hr</v>
      </c>
      <c r="M15" s="255"/>
      <c r="N15" s="256"/>
      <c r="O15" s="192" t="str">
        <f>IF(ISBLANK(F1),"",(1.2*F1)&amp;"ml/hr")</f>
        <v>0ml/hr</v>
      </c>
      <c r="P15" s="193"/>
    </row>
    <row r="16" spans="1:16" s="19" customFormat="1" ht="19.5" customHeight="1" thickBot="1">
      <c r="A16" s="44" t="s">
        <v>55</v>
      </c>
      <c r="B16" s="265" t="str">
        <f>F1&amp;"kg x 20mcg"</f>
        <v>0kg x 20mcg</v>
      </c>
      <c r="C16" s="265"/>
      <c r="D16" s="22">
        <f>20*F1</f>
        <v>0</v>
      </c>
      <c r="E16" s="23" t="s">
        <v>42</v>
      </c>
      <c r="F16" s="92" t="s">
        <v>56</v>
      </c>
      <c r="G16" s="234"/>
      <c r="H16" s="170"/>
      <c r="I16" s="24"/>
      <c r="J16" s="378" t="s">
        <v>57</v>
      </c>
      <c r="K16" s="379"/>
      <c r="L16" s="257" t="str">
        <f>F1&amp;"kg x 3ml/hr"</f>
        <v>0kg x 3ml/hr</v>
      </c>
      <c r="M16" s="258"/>
      <c r="N16" s="259"/>
      <c r="O16" s="194" t="str">
        <f>IF(ISBLANK(F1),"",(3*F1)&amp;"ml/hr")</f>
        <v>0ml/hr</v>
      </c>
      <c r="P16" s="195"/>
    </row>
    <row r="17" spans="1:16" s="19" customFormat="1" ht="15" customHeight="1" thickBot="1">
      <c r="A17" s="45" t="s">
        <v>58</v>
      </c>
      <c r="B17" s="213" t="str">
        <f>F1&amp;"kg x 4mcg"</f>
        <v>0kg x 4mcg</v>
      </c>
      <c r="C17" s="214"/>
      <c r="D17" s="293">
        <f>4*F1</f>
        <v>0</v>
      </c>
      <c r="E17" s="222" t="s">
        <v>42</v>
      </c>
      <c r="F17" s="205" t="s">
        <v>59</v>
      </c>
      <c r="G17" s="223"/>
      <c r="H17" s="206"/>
      <c r="I17" s="24"/>
      <c r="J17" s="260" t="s">
        <v>60</v>
      </c>
      <c r="K17" s="261"/>
      <c r="L17" s="261"/>
      <c r="M17" s="261"/>
      <c r="N17" s="261"/>
      <c r="O17" s="261"/>
      <c r="P17" s="262"/>
    </row>
    <row r="18" spans="1:16" s="17" customFormat="1" ht="7.5" customHeight="1" thickBot="1">
      <c r="A18" s="43"/>
      <c r="B18" s="215"/>
      <c r="C18" s="216"/>
      <c r="D18" s="294"/>
      <c r="E18" s="31"/>
      <c r="F18" s="93"/>
      <c r="G18" s="224"/>
      <c r="H18" s="209"/>
      <c r="I18" s="18"/>
      <c r="J18" s="272"/>
      <c r="K18" s="272"/>
      <c r="L18" s="272"/>
      <c r="M18" s="272"/>
      <c r="N18" s="272"/>
      <c r="O18" s="272"/>
      <c r="P18" s="272"/>
    </row>
    <row r="19" spans="1:16" s="17" customFormat="1" ht="21" customHeight="1" thickBot="1">
      <c r="A19" s="44" t="s">
        <v>61</v>
      </c>
      <c r="B19" s="266" t="str">
        <f>F1&amp;"kg x 2mg"</f>
        <v>0kg x 2mg</v>
      </c>
      <c r="C19" s="267"/>
      <c r="D19" s="58">
        <f>2*F1</f>
        <v>0</v>
      </c>
      <c r="E19" s="23" t="s">
        <v>62</v>
      </c>
      <c r="F19" s="244" t="s">
        <v>63</v>
      </c>
      <c r="G19" s="245"/>
      <c r="H19" s="246"/>
      <c r="I19" s="18"/>
      <c r="J19" s="176" t="s">
        <v>64</v>
      </c>
      <c r="K19" s="177"/>
      <c r="L19" s="177"/>
      <c r="M19" s="178"/>
      <c r="N19" s="176" t="s">
        <v>65</v>
      </c>
      <c r="O19" s="177"/>
      <c r="P19" s="178"/>
    </row>
    <row r="20" spans="1:16" s="17" customFormat="1" customHeight="1">
      <c r="A20" s="45" t="s">
        <v>66</v>
      </c>
      <c r="B20" s="213" t="str">
        <f>F1&amp;"kg x 100mcg"</f>
        <v>0kg x 100mcg</v>
      </c>
      <c r="C20" s="214"/>
      <c r="D20" s="221">
        <f>100*F1</f>
        <v>0</v>
      </c>
      <c r="E20" s="222" t="s">
        <v>42</v>
      </c>
      <c r="F20" s="205" t="s">
        <v>67</v>
      </c>
      <c r="G20" s="223"/>
      <c r="H20" s="206"/>
      <c r="I20" s="15"/>
      <c r="J20" s="318" t="s">
        <v>68</v>
      </c>
      <c r="K20" s="319"/>
      <c r="L20" s="319"/>
      <c r="M20" s="320"/>
      <c r="N20" s="368" t="s">
        <v>69</v>
      </c>
      <c r="O20" s="369"/>
      <c r="P20" s="370"/>
    </row>
    <row r="21" spans="1:16" s="17" customFormat="1" ht="12" customHeight="1" thickBot="1">
      <c r="A21" s="38"/>
      <c r="B21" s="357"/>
      <c r="C21" s="358"/>
      <c r="D21" s="366"/>
      <c r="E21" s="367"/>
      <c r="F21" s="88"/>
      <c r="G21" s="98"/>
      <c r="H21" s="271"/>
      <c r="I21" s="18"/>
      <c r="J21" s="318"/>
      <c r="K21" s="319"/>
      <c r="L21" s="319"/>
      <c r="M21" s="320"/>
      <c r="N21" s="371"/>
      <c r="O21" s="372"/>
      <c r="P21" s="373"/>
    </row>
    <row r="22" spans="1:16" ht="19.5" customHeight="1" thickBot="1">
      <c r="A22" s="109"/>
      <c r="B22" s="109"/>
      <c r="C22" s="109"/>
      <c r="D22" s="109"/>
      <c r="E22" s="109"/>
      <c r="F22" s="109"/>
      <c r="G22" s="109"/>
      <c r="H22" s="109"/>
      <c r="I22" s="9"/>
      <c r="J22" s="321"/>
      <c r="K22" s="322"/>
      <c r="L22" s="322"/>
      <c r="M22" s="323"/>
      <c r="N22" s="196" t="s">
        <v>70</v>
      </c>
      <c r="O22" s="197"/>
      <c r="P22" s="72" t="s">
        <v>71</v>
      </c>
    </row>
    <row r="23" spans="1:16" ht="10.5" customHeight="1">
      <c r="A23" s="363" t="s">
        <v>72</v>
      </c>
      <c r="B23" s="364"/>
      <c r="C23" s="364"/>
      <c r="D23" s="364"/>
      <c r="E23" s="364"/>
      <c r="F23" s="364"/>
      <c r="G23" s="364"/>
      <c r="H23" s="365"/>
      <c r="I23" s="2"/>
      <c r="J23" s="123" t="s">
        <v>73</v>
      </c>
      <c r="K23" s="380"/>
      <c r="L23" s="380"/>
      <c r="M23" s="26" t="s">
        <v>74</v>
      </c>
      <c r="N23" s="30" t="s">
        <v>75</v>
      </c>
      <c r="O23" s="74"/>
      <c r="P23" s="73" t="s">
        <v>76</v>
      </c>
    </row>
    <row r="24" spans="1:16" ht="21" customHeight="1">
      <c r="A24" s="81" t="s">
        <v>77</v>
      </c>
      <c r="B24" s="80" t="s">
        <v>23</v>
      </c>
      <c r="C24" s="80"/>
      <c r="D24" s="80" t="s">
        <v>78</v>
      </c>
      <c r="E24" s="80"/>
      <c r="F24" s="80" t="s">
        <v>79</v>
      </c>
      <c r="G24" s="80" t="s">
        <v>80</v>
      </c>
      <c r="H24" s="316"/>
      <c r="I24" s="2"/>
      <c r="J24" s="57" t="s">
        <v>81</v>
      </c>
      <c r="K24" s="317">
        <f>(K23*F1)*0.4</f>
        <v>0</v>
      </c>
      <c r="L24" s="317"/>
      <c r="M24" s="26" t="s">
        <v>74</v>
      </c>
      <c r="N24" s="29" t="s">
        <v>82</v>
      </c>
      <c r="O24" s="75"/>
      <c r="P24" s="27" t="s">
        <v>83</v>
      </c>
    </row>
    <row r="25" spans="1:16" ht="15.75" customHeight="1">
      <c r="A25" s="44" t="s">
        <v>84</v>
      </c>
      <c r="B25" s="265" t="str">
        <f>F1&amp;"kg x 1mg"</f>
        <v>0kg x 1mg</v>
      </c>
      <c r="C25" s="265"/>
      <c r="D25" s="293">
        <f>1*F1</f>
        <v>0</v>
      </c>
      <c r="E25" s="32" t="s">
        <v>62</v>
      </c>
      <c r="F25" s="76" t="s">
        <v>85</v>
      </c>
      <c r="G25" s="76" t="s">
        <v>86</v>
      </c>
      <c r="H25" s="166"/>
      <c r="I25" s="2"/>
      <c r="J25" s="397" t="str">
        <f>("Base deficit "&amp;K23&amp;" x weight "&amp;F1&amp;"kg x 0.4")</f>
        <v>Base deficit  x weight 0kg x 0.4</v>
      </c>
      <c r="K25" s="398"/>
      <c r="L25" s="398"/>
      <c r="M25" s="399"/>
      <c r="N25" s="30" t="s">
        <v>87</v>
      </c>
      <c r="O25" s="70"/>
      <c r="P25" s="28" t="s">
        <v>88</v>
      </c>
    </row>
    <row r="26" spans="1:16" ht="18.75" customHeight="1">
      <c r="A26" s="44"/>
      <c r="B26" s="265"/>
      <c r="C26" s="265"/>
      <c r="D26" s="294"/>
      <c r="E26" s="32"/>
      <c r="F26" s="76"/>
      <c r="G26" s="76"/>
      <c r="H26" s="166"/>
      <c r="I26" s="2"/>
      <c r="J26" s="305" t="s">
        <v>89</v>
      </c>
      <c r="K26" s="24"/>
      <c r="L26" s="24"/>
      <c r="M26" s="306"/>
      <c r="N26" s="392" t="s">
        <v>90</v>
      </c>
      <c r="O26" s="393" t="e">
        <f>(O23*O24)/(O25*7.5)</f>
        <v>#DIV/0!</v>
      </c>
      <c r="P26" s="394"/>
    </row>
    <row r="27" spans="1:16" ht="22.5" customHeight="1">
      <c r="A27" s="59" t="s">
        <v>91</v>
      </c>
      <c r="B27" s="304" t="str">
        <f>F1&amp;"kg x 9mg"</f>
        <v>0kg x 9mg</v>
      </c>
      <c r="C27" s="304"/>
      <c r="D27" s="61">
        <f>9*F1</f>
        <v>0</v>
      </c>
      <c r="E27" s="32" t="s">
        <v>62</v>
      </c>
      <c r="F27" s="76" t="s">
        <v>92</v>
      </c>
      <c r="G27" s="92" t="s">
        <v>183</v>
      </c>
      <c r="H27" s="170"/>
      <c r="I27" s="2"/>
      <c r="J27" s="305"/>
      <c r="K27" s="24"/>
      <c r="L27" s="24"/>
      <c r="M27" s="306"/>
      <c r="N27" s="305"/>
      <c r="O27" s="395"/>
      <c r="P27" s="396"/>
    </row>
    <row r="28" spans="1:16" s="17" customFormat="1" ht="24" customHeight="1" thickBot="1">
      <c r="A28" s="59" t="s">
        <v>93</v>
      </c>
      <c r="B28" s="304" t="str">
        <f>F1&amp;"kg x 6mg"</f>
        <v>0kg x 6mg</v>
      </c>
      <c r="C28" s="304"/>
      <c r="D28" s="61">
        <f>6*F1</f>
        <v>0</v>
      </c>
      <c r="E28" s="32" t="s">
        <v>62</v>
      </c>
      <c r="F28" s="76" t="s">
        <v>94</v>
      </c>
      <c r="G28" s="92" t="s">
        <v>95</v>
      </c>
      <c r="H28" s="170"/>
      <c r="I28" s="33"/>
      <c r="J28" s="307"/>
      <c r="K28" s="308"/>
      <c r="L28" s="308"/>
      <c r="M28" s="309"/>
      <c r="N28" s="390" t="str">
        <f>IF(ISBLANK(O25),"OI= (MAP x FiO2)/(PaO2 x 7.5)","(MAP "&amp;O24&amp;"cmH20 x FiO2 "&amp;O23&amp;" %) /                                     (PaO2 "&amp;O25&amp;"kPa x 7.5)")</f>
        <v>OI= (MAP x FiO2)/(PaO2 x 7.5)</v>
      </c>
      <c r="O28" s="390"/>
      <c r="P28" s="391"/>
    </row>
    <row r="29" spans="1:15" s="17" customFormat="1" ht="9.75" customHeight="1" thickBot="1">
      <c r="A29" s="45" t="s">
        <v>96</v>
      </c>
      <c r="B29" s="213" t="str">
        <f>F1&amp;"kg x 60mg"</f>
        <v>0kg x 60mg</v>
      </c>
      <c r="C29" s="214"/>
      <c r="D29" s="221">
        <f>60*F1</f>
        <v>0</v>
      </c>
      <c r="E29" s="222" t="s">
        <v>62</v>
      </c>
      <c r="F29" s="313" t="s">
        <v>97</v>
      </c>
      <c r="G29" s="205" t="s">
        <v>98</v>
      </c>
      <c r="H29" s="206"/>
      <c r="I29" s="33"/>
      <c r="J29" s="34"/>
      <c r="K29" s="34"/>
      <c r="L29" s="20"/>
      <c r="M29" s="20"/>
      <c r="O29" s="35"/>
    </row>
    <row r="30" spans="1:16" s="17" customFormat="1" ht="12" customHeight="1" thickBot="1">
      <c r="A30" s="43"/>
      <c r="B30" s="215"/>
      <c r="C30" s="216"/>
      <c r="D30" s="42"/>
      <c r="E30" s="31"/>
      <c r="F30" s="314"/>
      <c r="G30" s="93"/>
      <c r="H30" s="209"/>
      <c r="I30" s="24"/>
      <c r="J30" s="200" t="s">
        <v>99</v>
      </c>
      <c r="K30" s="201"/>
      <c r="L30" s="201"/>
      <c r="M30" s="201"/>
      <c r="N30" s="200" t="s">
        <v>100</v>
      </c>
      <c r="O30" s="201"/>
      <c r="P30" s="202"/>
    </row>
    <row r="31" spans="1:16" s="17" customFormat="1" ht="23.25" customHeight="1" thickBot="1">
      <c r="A31" s="60" t="s">
        <v>101</v>
      </c>
      <c r="B31" s="315" t="str">
        <f>F1&amp;"kg x 40mg"</f>
        <v>0kg x 40mg</v>
      </c>
      <c r="C31" s="315"/>
      <c r="D31" s="62">
        <f>40*F1</f>
        <v>0</v>
      </c>
      <c r="E31" s="37" t="s">
        <v>62</v>
      </c>
      <c r="F31" s="77" t="s">
        <v>102</v>
      </c>
      <c r="G31" s="171" t="s">
        <v>103</v>
      </c>
      <c r="H31" s="172"/>
      <c r="I31" s="18"/>
      <c r="J31" s="325" t="s">
        <v>104</v>
      </c>
      <c r="K31" s="326"/>
      <c r="L31" s="326"/>
      <c r="M31" s="327"/>
      <c r="N31" s="325" t="s">
        <v>105</v>
      </c>
      <c r="O31" s="326"/>
      <c r="P31" s="327"/>
    </row>
    <row r="32" spans="1:16" s="17" customFormat="1" ht="8.25" customHeight="1" thickBot="1">
      <c r="A32" s="34"/>
      <c r="B32" s="34"/>
      <c r="C32" s="34"/>
      <c r="D32" s="35"/>
      <c r="E32" s="34"/>
      <c r="F32" s="20"/>
      <c r="G32" s="20"/>
      <c r="H32" s="20"/>
      <c r="I32" s="18"/>
      <c r="J32" s="351"/>
      <c r="K32" s="352"/>
      <c r="L32" s="352"/>
      <c r="M32" s="353"/>
      <c r="N32" s="328" t="s">
        <v>106</v>
      </c>
      <c r="O32" s="329"/>
      <c r="P32" s="330"/>
    </row>
    <row r="33" spans="1:16" s="17" customFormat="1" customHeight="1" thickBot="1">
      <c r="A33" s="200" t="s">
        <v>107</v>
      </c>
      <c r="B33" s="201"/>
      <c r="C33" s="201"/>
      <c r="D33" s="201"/>
      <c r="E33" s="201"/>
      <c r="F33" s="201"/>
      <c r="G33" s="201"/>
      <c r="H33" s="202"/>
      <c r="I33" s="18"/>
      <c r="J33" s="305" t="s">
        <v>108</v>
      </c>
      <c r="K33" s="24"/>
      <c r="L33" s="24"/>
      <c r="M33" s="306"/>
      <c r="N33" s="328"/>
      <c r="O33" s="329"/>
      <c r="P33" s="330"/>
    </row>
    <row r="34" spans="1:16" s="17" customFormat="1" ht="22.5" customHeight="1" thickBot="1">
      <c r="A34" s="69" t="s">
        <v>109</v>
      </c>
      <c r="B34" s="65" t="s">
        <v>23</v>
      </c>
      <c r="C34" s="65"/>
      <c r="D34" s="80" t="s">
        <v>78</v>
      </c>
      <c r="E34" s="80"/>
      <c r="F34" s="65" t="s">
        <v>110</v>
      </c>
      <c r="G34" s="65" t="s">
        <v>80</v>
      </c>
      <c r="H34" s="310"/>
      <c r="I34" s="18"/>
      <c r="J34" s="305"/>
      <c r="K34" s="24"/>
      <c r="L34" s="24"/>
      <c r="M34" s="306"/>
      <c r="N34" s="328" t="s">
        <v>111</v>
      </c>
      <c r="O34" s="329"/>
      <c r="P34" s="330"/>
    </row>
    <row r="35" spans="1:16" s="17" customFormat="1" ht="22.5" customHeight="1" thickBot="1">
      <c r="A35" s="38" t="s">
        <v>91</v>
      </c>
      <c r="B35" s="357" t="str">
        <f>F1&amp;"kg x 9mg"</f>
        <v>0kg x 9mg</v>
      </c>
      <c r="C35" s="358"/>
      <c r="D35" s="63">
        <f>9*F1</f>
        <v>0</v>
      </c>
      <c r="E35" s="64" t="s">
        <v>62</v>
      </c>
      <c r="F35" s="88" t="s">
        <v>112</v>
      </c>
      <c r="G35" s="77" t="s">
        <v>113</v>
      </c>
      <c r="H35" s="359"/>
      <c r="I35" s="18"/>
      <c r="J35" s="307"/>
      <c r="K35" s="308"/>
      <c r="L35" s="308"/>
      <c r="M35" s="309"/>
      <c r="N35" s="331" t="s">
        <v>114</v>
      </c>
      <c r="O35" s="332"/>
      <c r="P35" s="333"/>
    </row>
    <row r="36" spans="1:16" s="17" customFormat="1" ht="24" customHeight="1" thickBot="1">
      <c r="A36" s="356" t="s">
        <v>181</v>
      </c>
      <c r="B36" s="356"/>
      <c r="C36" s="356"/>
      <c r="D36" s="356"/>
      <c r="E36" s="356"/>
      <c r="F36" s="356"/>
      <c r="G36" s="356"/>
      <c r="H36" s="356"/>
      <c r="I36" s="356"/>
      <c r="J36" s="356"/>
      <c r="K36" s="356"/>
      <c r="L36" s="356"/>
      <c r="M36" s="356"/>
      <c r="N36" s="356"/>
      <c r="O36" s="356"/>
      <c r="P36" s="356"/>
    </row>
    <row r="37" spans="1:16" s="40" customFormat="1" ht="15" customHeight="1" thickBot="1">
      <c r="A37" s="200" t="s">
        <v>115</v>
      </c>
      <c r="B37" s="201"/>
      <c r="C37" s="201"/>
      <c r="D37" s="201"/>
      <c r="E37" s="201"/>
      <c r="F37" s="201"/>
      <c r="G37" s="201"/>
      <c r="H37" s="202"/>
      <c r="I37" s="39"/>
      <c r="J37" s="179" t="s">
        <v>116</v>
      </c>
      <c r="K37" s="180"/>
      <c r="L37" s="180"/>
      <c r="M37" s="180"/>
      <c r="N37" s="180"/>
      <c r="O37" s="180"/>
      <c r="P37" s="181"/>
    </row>
    <row r="38" spans="1:16" s="17" customFormat="1" ht="24.75" customHeight="1" thickBot="1">
      <c r="A38" s="97" t="s">
        <v>117</v>
      </c>
      <c r="B38" s="94" t="s">
        <v>23</v>
      </c>
      <c r="C38" s="94"/>
      <c r="D38" s="80" t="s">
        <v>78</v>
      </c>
      <c r="E38" s="80"/>
      <c r="F38" s="94" t="s">
        <v>110</v>
      </c>
      <c r="G38" s="311" t="s">
        <v>80</v>
      </c>
      <c r="H38" s="312"/>
      <c r="I38" s="18"/>
      <c r="J38" s="41" t="s">
        <v>118</v>
      </c>
      <c r="K38" s="182" t="s">
        <v>23</v>
      </c>
      <c r="L38" s="183"/>
      <c r="M38" s="182" t="s">
        <v>24</v>
      </c>
      <c r="N38" s="183"/>
      <c r="O38" s="182" t="s">
        <v>119</v>
      </c>
      <c r="P38" s="184"/>
    </row>
    <row r="39" spans="1:16" s="17" customFormat="1" ht="31.5" customHeight="1">
      <c r="A39" s="348" t="s">
        <v>120</v>
      </c>
      <c r="B39" s="349"/>
      <c r="C39" s="349"/>
      <c r="D39" s="349"/>
      <c r="E39" s="349"/>
      <c r="F39" s="349"/>
      <c r="G39" s="349"/>
      <c r="H39" s="350"/>
      <c r="I39" s="18"/>
      <c r="J39" s="43" t="s">
        <v>84</v>
      </c>
      <c r="K39" s="354" t="str">
        <f>F1&amp;"kg x 100mcg"</f>
        <v>0kg x 100mcg</v>
      </c>
      <c r="L39" s="355"/>
      <c r="M39" s="42">
        <f>F1*100</f>
        <v>0</v>
      </c>
      <c r="N39" s="31" t="s">
        <v>42</v>
      </c>
      <c r="O39" s="185" t="s">
        <v>121</v>
      </c>
      <c r="P39" s="186"/>
    </row>
    <row r="40" spans="1:16" s="17" customFormat="1" ht="27" customHeight="1">
      <c r="A40" s="95" t="s">
        <v>122</v>
      </c>
      <c r="B40" s="304" t="str">
        <f>F1&amp;"kg x 60mg"</f>
        <v>0kg x 60mg</v>
      </c>
      <c r="C40" s="304"/>
      <c r="D40" s="42">
        <f>60*F1</f>
        <v>0</v>
      </c>
      <c r="E40" s="96" t="s">
        <v>62</v>
      </c>
      <c r="F40" s="93" t="s">
        <v>123</v>
      </c>
      <c r="G40" s="93" t="s">
        <v>124</v>
      </c>
      <c r="H40" s="209"/>
      <c r="I40" s="18"/>
      <c r="J40" s="44" t="s">
        <v>91</v>
      </c>
      <c r="K40" s="295" t="str">
        <f>F1&amp;"kg x 100-200mcg"</f>
        <v>0kg x 100-200mcg</v>
      </c>
      <c r="L40" s="296"/>
      <c r="M40" s="22" t="str">
        <f>(100*F1)&amp;"-"&amp;(200*F1)</f>
        <v>0-0</v>
      </c>
      <c r="N40" s="32" t="s">
        <v>42</v>
      </c>
      <c r="O40" s="92" t="s">
        <v>125</v>
      </c>
      <c r="P40" s="170"/>
    </row>
    <row r="41" spans="1:16" s="17" customFormat="1" ht="23.25" customHeight="1">
      <c r="A41" s="59" t="s">
        <v>126</v>
      </c>
      <c r="B41" s="231" t="str">
        <f>F1&amp;"kg x 60mg"</f>
        <v>0kg x 60mg</v>
      </c>
      <c r="C41" s="232"/>
      <c r="D41" s="92">
        <f>60*F1</f>
        <v>0</v>
      </c>
      <c r="E41" s="23" t="s">
        <v>62</v>
      </c>
      <c r="F41" s="93" t="s">
        <v>123</v>
      </c>
      <c r="G41" s="93" t="s">
        <v>124</v>
      </c>
      <c r="H41" s="209"/>
      <c r="I41" s="18"/>
      <c r="J41" s="44" t="s">
        <v>93</v>
      </c>
      <c r="K41" s="295" t="str">
        <f>F1&amp;"kg x 80mcg"</f>
        <v>0kg x 80mcg</v>
      </c>
      <c r="L41" s="296"/>
      <c r="M41" s="22">
        <f>F1*80</f>
        <v>0</v>
      </c>
      <c r="N41" s="32" t="s">
        <v>42</v>
      </c>
      <c r="O41" s="92" t="s">
        <v>127</v>
      </c>
      <c r="P41" s="170"/>
    </row>
    <row r="42" spans="1:16" s="17" customFormat="1" ht="27.75" customHeight="1">
      <c r="A42" s="59" t="s">
        <v>128</v>
      </c>
      <c r="B42" s="266" t="str">
        <f>F1&amp;"kg x 1.5mg"</f>
        <v>0kg x 1.5mg</v>
      </c>
      <c r="C42" s="267"/>
      <c r="D42" s="58">
        <f>1.5*F1</f>
        <v>0</v>
      </c>
      <c r="E42" s="23" t="s">
        <v>62</v>
      </c>
      <c r="F42" s="92" t="s">
        <v>129</v>
      </c>
      <c r="G42" s="92" t="s">
        <v>130</v>
      </c>
      <c r="H42" s="170"/>
      <c r="I42" s="18"/>
      <c r="J42" s="45" t="s">
        <v>96</v>
      </c>
      <c r="K42" s="297" t="str">
        <f>F1&amp;"kg x 300-500mcg"</f>
        <v>0kg x 300-500mcg</v>
      </c>
      <c r="L42" s="298"/>
      <c r="M42" s="22" t="str">
        <f>(300*F1)&amp;"-"&amp;(500*F1)</f>
        <v>0-0</v>
      </c>
      <c r="N42" s="32" t="s">
        <v>42</v>
      </c>
      <c r="O42" s="92" t="s">
        <v>131</v>
      </c>
      <c r="P42" s="170"/>
    </row>
    <row r="43" spans="1:16" s="17" customFormat="1" ht="25.5" customHeight="1">
      <c r="A43" s="59" t="s">
        <v>132</v>
      </c>
      <c r="B43" s="266" t="str">
        <f>F1&amp;"kg x 1.5mg"</f>
        <v>0kg x 1.5mg</v>
      </c>
      <c r="C43" s="267"/>
      <c r="D43" s="58">
        <f>1.5*F1</f>
        <v>0</v>
      </c>
      <c r="E43" s="23" t="s">
        <v>62</v>
      </c>
      <c r="F43" s="92" t="s">
        <v>129</v>
      </c>
      <c r="G43" s="92" t="s">
        <v>130</v>
      </c>
      <c r="H43" s="170"/>
      <c r="I43" s="18"/>
      <c r="J43" s="46" t="s">
        <v>101</v>
      </c>
      <c r="K43" s="299" t="str">
        <f>F1&amp;"kg x 600mcg"</f>
        <v>0kg x 600mcg</v>
      </c>
      <c r="L43" s="300"/>
      <c r="M43" s="22">
        <f>F1*600</f>
        <v>0</v>
      </c>
      <c r="N43" s="32" t="s">
        <v>42</v>
      </c>
      <c r="O43" s="92" t="s">
        <v>133</v>
      </c>
      <c r="P43" s="170"/>
    </row>
    <row r="44" spans="1:16" s="17" customFormat="1" ht="35.25" customHeight="1" thickBot="1">
      <c r="A44" s="60" t="s">
        <v>134</v>
      </c>
      <c r="B44" s="171" t="s">
        <v>135</v>
      </c>
      <c r="C44" s="248"/>
      <c r="D44" s="36">
        <v>10</v>
      </c>
      <c r="E44" s="47" t="s">
        <v>62</v>
      </c>
      <c r="F44" s="77" t="s">
        <v>136</v>
      </c>
      <c r="G44" s="171" t="s">
        <v>137</v>
      </c>
      <c r="H44" s="172"/>
      <c r="I44" s="18"/>
      <c r="J44" s="48" t="s">
        <v>138</v>
      </c>
      <c r="K44" s="301" t="str">
        <f>F1&amp;"kg x 100mcg"</f>
        <v>0kg x 100mcg</v>
      </c>
      <c r="L44" s="302"/>
      <c r="M44" s="36">
        <f>F1*100</f>
        <v>0</v>
      </c>
      <c r="N44" s="37" t="s">
        <v>42</v>
      </c>
      <c r="O44" s="171" t="s">
        <v>139</v>
      </c>
      <c r="P44" s="172"/>
    </row>
    <row r="45" spans="1:15" s="17" customFormat="1" ht="6.75" customHeight="1" thickBot="1">
      <c r="A45" s="20"/>
      <c r="B45" s="20"/>
      <c r="C45" s="34"/>
      <c r="D45" s="20"/>
      <c r="E45" s="34"/>
      <c r="F45" s="20"/>
      <c r="G45" s="20"/>
      <c r="H45" s="20"/>
      <c r="I45" s="18"/>
      <c r="J45" s="34"/>
      <c r="K45" s="34"/>
      <c r="L45" s="20"/>
      <c r="M45" s="20"/>
      <c r="N45" s="20"/>
      <c r="O45" s="20"/>
    </row>
    <row r="46" spans="1:16" s="50" customFormat="1" ht="13.5" customHeight="1" thickBot="1">
      <c r="A46" s="173" t="s">
        <v>140</v>
      </c>
      <c r="B46" s="174"/>
      <c r="C46" s="174"/>
      <c r="D46" s="174"/>
      <c r="E46" s="174"/>
      <c r="F46" s="174"/>
      <c r="G46" s="174"/>
      <c r="H46" s="175"/>
      <c r="I46" s="49"/>
      <c r="J46" s="173" t="s">
        <v>141</v>
      </c>
      <c r="K46" s="174"/>
      <c r="L46" s="174"/>
      <c r="M46" s="174"/>
      <c r="N46" s="174"/>
      <c r="O46" s="174"/>
      <c r="P46" s="175"/>
    </row>
    <row r="47" spans="1:16" s="17" customFormat="1" ht="22.5" customHeight="1">
      <c r="A47" s="66" t="s">
        <v>117</v>
      </c>
      <c r="B47" s="203" t="s">
        <v>23</v>
      </c>
      <c r="C47" s="203"/>
      <c r="D47" s="303" t="s">
        <v>24</v>
      </c>
      <c r="E47" s="303"/>
      <c r="F47" s="203" t="s">
        <v>142</v>
      </c>
      <c r="G47" s="203"/>
      <c r="H47" s="204"/>
      <c r="I47" s="24"/>
      <c r="J47" s="66" t="s">
        <v>118</v>
      </c>
      <c r="K47" s="203" t="s">
        <v>23</v>
      </c>
      <c r="L47" s="203"/>
      <c r="M47" s="203" t="s">
        <v>78</v>
      </c>
      <c r="N47" s="203"/>
      <c r="O47" s="203" t="s">
        <v>143</v>
      </c>
      <c r="P47" s="204"/>
    </row>
    <row r="48" spans="1:16" s="19" customFormat="1" ht="19.5" customHeight="1">
      <c r="A48" s="44" t="s">
        <v>144</v>
      </c>
      <c r="B48" s="265" t="str">
        <f>F1&amp;"kg x 20mg"</f>
        <v>0kg x 20mg</v>
      </c>
      <c r="C48" s="265"/>
      <c r="D48" s="22">
        <f>20*F1</f>
        <v>0</v>
      </c>
      <c r="E48" s="32" t="s">
        <v>62</v>
      </c>
      <c r="F48" s="76" t="s">
        <v>145</v>
      </c>
      <c r="G48" s="76"/>
      <c r="H48" s="166"/>
      <c r="I48" s="24"/>
      <c r="J48" s="44" t="s">
        <v>146</v>
      </c>
      <c r="K48" s="235" t="str">
        <f>F1&amp;"kg x 0.1ml"</f>
        <v>0kg x 0.1ml</v>
      </c>
      <c r="L48" s="236"/>
      <c r="M48" s="83">
        <f>F1*0.1</f>
        <v>0</v>
      </c>
      <c r="N48" s="78" t="s">
        <v>30</v>
      </c>
      <c r="O48" s="76" t="s">
        <v>147</v>
      </c>
      <c r="P48" s="166"/>
    </row>
    <row r="49" spans="1:16" s="17" customFormat="1" ht="10.5" customHeight="1">
      <c r="A49" s="44"/>
      <c r="B49" s="265"/>
      <c r="C49" s="265"/>
      <c r="D49" s="22"/>
      <c r="E49" s="32"/>
      <c r="F49" s="76"/>
      <c r="G49" s="76"/>
      <c r="H49" s="166"/>
      <c r="I49" s="33"/>
      <c r="J49" s="44"/>
      <c r="K49" s="225" t="s">
        <v>148</v>
      </c>
      <c r="L49" s="226"/>
      <c r="M49" s="226"/>
      <c r="N49" s="227"/>
      <c r="O49" s="233"/>
      <c r="P49" s="166"/>
    </row>
    <row r="50" spans="1:16" s="17" customFormat="1" ht="9" customHeight="1">
      <c r="A50" s="45" t="s">
        <v>149</v>
      </c>
      <c r="B50" s="213" t="str">
        <f>F1&amp;"kg x 20mg"</f>
        <v>0kg x 20mg</v>
      </c>
      <c r="C50" s="214"/>
      <c r="D50" s="221">
        <f>20*F1</f>
        <v>0</v>
      </c>
      <c r="E50" s="222" t="s">
        <v>62</v>
      </c>
      <c r="F50" s="205" t="s">
        <v>150</v>
      </c>
      <c r="G50" s="223"/>
      <c r="H50" s="206"/>
      <c r="I50" s="33"/>
      <c r="J50" s="44"/>
      <c r="K50" s="228" t="s">
        <v>151</v>
      </c>
      <c r="L50" s="229"/>
      <c r="M50" s="229"/>
      <c r="N50" s="230"/>
      <c r="O50" s="233"/>
      <c r="P50" s="166"/>
    </row>
    <row r="51" spans="1:16" s="17" customFormat="1" ht="18.75" customHeight="1">
      <c r="A51" s="43"/>
      <c r="B51" s="215"/>
      <c r="C51" s="216"/>
      <c r="D51" s="42"/>
      <c r="E51" s="31"/>
      <c r="F51" s="93"/>
      <c r="G51" s="224"/>
      <c r="H51" s="209"/>
      <c r="I51" s="33"/>
      <c r="J51" s="45" t="s">
        <v>152</v>
      </c>
      <c r="K51" s="237" t="str">
        <f>F1&amp;"kg x 150mcg"</f>
        <v>0kg x 150mcg</v>
      </c>
      <c r="L51" s="238"/>
      <c r="M51" s="211">
        <f>150*F1</f>
        <v>0</v>
      </c>
      <c r="N51" s="212" t="s">
        <v>42</v>
      </c>
      <c r="O51" s="205" t="s">
        <v>153</v>
      </c>
      <c r="P51" s="206"/>
    </row>
    <row r="52" spans="1:16" s="17" customFormat="1" ht="21" customHeight="1">
      <c r="A52" s="44" t="s">
        <v>91</v>
      </c>
      <c r="B52" s="266" t="str">
        <f>F1&amp;"kg x 100-200mcg"</f>
        <v>0kg x 100-200mcg</v>
      </c>
      <c r="C52" s="267"/>
      <c r="D52" s="22" t="str">
        <f>(100*F1)&amp;"-"&amp;(200*F1)</f>
        <v>0-0</v>
      </c>
      <c r="E52" s="32" t="s">
        <v>42</v>
      </c>
      <c r="F52" s="92" t="s">
        <v>154</v>
      </c>
      <c r="G52" s="234"/>
      <c r="H52" s="170"/>
      <c r="I52" s="33"/>
      <c r="J52" s="210"/>
      <c r="K52" s="239"/>
      <c r="L52" s="240"/>
      <c r="M52" s="211"/>
      <c r="N52" s="212"/>
      <c r="O52" s="207"/>
      <c r="P52" s="208"/>
    </row>
    <row r="53" spans="1:16" s="17" customFormat="1" ht="27" customHeight="1">
      <c r="A53" s="44" t="s">
        <v>155</v>
      </c>
      <c r="B53" s="266" t="str">
        <f>F1&amp;"kg x 100mcg"</f>
        <v>0kg x 100mcg</v>
      </c>
      <c r="C53" s="267"/>
      <c r="D53" s="22">
        <f>100*F1</f>
        <v>0</v>
      </c>
      <c r="E53" s="32" t="s">
        <v>42</v>
      </c>
      <c r="F53" s="92" t="s">
        <v>156</v>
      </c>
      <c r="G53" s="234"/>
      <c r="H53" s="170"/>
      <c r="I53" s="33"/>
      <c r="J53" s="43"/>
      <c r="K53" s="241"/>
      <c r="L53" s="242"/>
      <c r="M53" s="42"/>
      <c r="N53" s="31"/>
      <c r="O53" s="93"/>
      <c r="P53" s="209"/>
    </row>
    <row r="54" spans="1:16" s="17" customFormat="1" ht="27" customHeight="1" thickBot="1">
      <c r="A54" s="51" t="s">
        <v>157</v>
      </c>
      <c r="B54" s="217" t="str">
        <f>F1&amp;"kg x 0.8mls"</f>
        <v>0kg x 0.8mls</v>
      </c>
      <c r="C54" s="218"/>
      <c r="D54" s="52">
        <f>0.8*F1</f>
        <v>0</v>
      </c>
      <c r="E54" s="37" t="s">
        <v>30</v>
      </c>
      <c r="F54" s="171" t="s">
        <v>158</v>
      </c>
      <c r="G54" s="247"/>
      <c r="H54" s="172"/>
      <c r="I54" s="33"/>
      <c r="J54" s="44" t="s">
        <v>159</v>
      </c>
      <c r="K54" s="231" t="str">
        <f>F1&amp;"kg x 2.5mg"</f>
        <v>0kg x 2.5mg</v>
      </c>
      <c r="L54" s="232"/>
      <c r="M54" s="58">
        <f>F1*2.5</f>
        <v>0</v>
      </c>
      <c r="N54" s="32" t="s">
        <v>62</v>
      </c>
      <c r="O54" s="92" t="s">
        <v>160</v>
      </c>
      <c r="P54" s="170"/>
    </row>
    <row r="55" spans="1:16" s="17" customFormat="1" ht="22.5" customHeight="1" thickBot="1">
      <c r="A55" s="53"/>
      <c r="B55" s="53"/>
      <c r="C55" s="53"/>
      <c r="D55" s="25"/>
      <c r="E55" s="19"/>
      <c r="F55" s="24"/>
      <c r="G55" s="24"/>
      <c r="H55" s="24"/>
      <c r="I55" s="33"/>
      <c r="J55" s="56" t="s">
        <v>161</v>
      </c>
      <c r="K55" s="231" t="str">
        <f>F1&amp;"kg x 10-20ml"</f>
        <v>0kg x 10-20ml</v>
      </c>
      <c r="L55" s="232"/>
      <c r="M55" s="58" t="str">
        <f>(10*F1)&amp;"-"&amp;(20*F1)</f>
        <v>0-0</v>
      </c>
      <c r="N55" s="32" t="s">
        <v>30</v>
      </c>
      <c r="O55" s="92" t="s">
        <v>162</v>
      </c>
      <c r="P55" s="170"/>
    </row>
    <row r="56" spans="1:16" s="17" customFormat="1" ht="22.5" customHeight="1" thickBot="1">
      <c r="A56" s="200" t="s">
        <v>163</v>
      </c>
      <c r="B56" s="201"/>
      <c r="C56" s="201"/>
      <c r="D56" s="201"/>
      <c r="E56" s="201"/>
      <c r="F56" s="201"/>
      <c r="G56" s="201"/>
      <c r="H56" s="202"/>
      <c r="I56" s="33"/>
      <c r="J56" s="51" t="s">
        <v>164</v>
      </c>
      <c r="K56" s="219" t="str">
        <f>F1&amp;"kg x 10-20ml"</f>
        <v>0kg x 10-20ml</v>
      </c>
      <c r="L56" s="220"/>
      <c r="M56" s="52" t="str">
        <f>(10*F1)&amp;"-"&amp;(20*F1)</f>
        <v>0-0</v>
      </c>
      <c r="N56" s="37" t="s">
        <v>30</v>
      </c>
      <c r="O56" s="171" t="s">
        <v>165</v>
      </c>
      <c r="P56" s="172"/>
    </row>
    <row r="57" spans="1:14" ht="7.5" customHeight="1" thickBot="1">
      <c r="A57" s="334" t="s">
        <v>109</v>
      </c>
      <c r="B57" s="335" t="s">
        <v>23</v>
      </c>
      <c r="C57" s="335"/>
      <c r="D57" s="335" t="s">
        <v>78</v>
      </c>
      <c r="E57" s="335"/>
      <c r="F57" s="335" t="s">
        <v>166</v>
      </c>
      <c r="G57" s="335" t="s">
        <v>80</v>
      </c>
      <c r="H57" s="337"/>
      <c r="I57" s="2"/>
      <c r="J57" s="1"/>
      <c r="K57" s="1"/>
      <c r="L57" s="6"/>
      <c r="M57" s="10"/>
      <c r="N57" s="1"/>
    </row>
    <row r="58" spans="1:16" s="8" customFormat="1" ht="14.25" customHeight="1" thickBot="1">
      <c r="A58" s="131"/>
      <c r="B58" s="336"/>
      <c r="C58" s="336"/>
      <c r="D58" s="336"/>
      <c r="E58" s="336"/>
      <c r="F58" s="336"/>
      <c r="G58" s="336"/>
      <c r="H58" s="338"/>
      <c r="I58" s="11"/>
      <c r="J58" s="200" t="s">
        <v>167</v>
      </c>
      <c r="K58" s="201"/>
      <c r="L58" s="201"/>
      <c r="M58" s="201"/>
      <c r="N58" s="201"/>
      <c r="O58" s="201"/>
      <c r="P58" s="202"/>
    </row>
    <row r="59" spans="1:16" ht="24.75" customHeight="1">
      <c r="A59" s="91" t="s">
        <v>168</v>
      </c>
      <c r="B59" s="339" t="str">
        <f>F1&amp;"kg x 20mcg"</f>
        <v>0kg x 20mcg</v>
      </c>
      <c r="C59" s="339"/>
      <c r="D59" s="68">
        <f>20*F1</f>
        <v>0</v>
      </c>
      <c r="E59" s="67" t="s">
        <v>42</v>
      </c>
      <c r="F59" s="132" t="s">
        <v>169</v>
      </c>
      <c r="G59" s="132" t="s">
        <v>170</v>
      </c>
      <c r="H59" s="342"/>
      <c r="I59" s="12"/>
      <c r="J59" s="187" t="s">
        <v>171</v>
      </c>
      <c r="K59" s="188"/>
      <c r="L59" s="188"/>
      <c r="M59" s="189"/>
      <c r="N59" s="190" t="s">
        <v>172</v>
      </c>
      <c r="O59" s="188"/>
      <c r="P59" s="191"/>
    </row>
    <row r="60" spans="1:16" ht="35.25" customHeight="1">
      <c r="A60" s="131" t="s">
        <v>173</v>
      </c>
      <c r="B60" s="343" t="str">
        <f>F1&amp;"kg x 250mcg"</f>
        <v>0kg x 250mcg</v>
      </c>
      <c r="C60" s="344"/>
      <c r="D60" s="133">
        <f>250*F1</f>
        <v>0</v>
      </c>
      <c r="E60" s="134" t="s">
        <v>42</v>
      </c>
      <c r="F60" s="135" t="s">
        <v>174</v>
      </c>
      <c r="G60" s="340" t="s">
        <v>175</v>
      </c>
      <c r="H60" s="341"/>
      <c r="I60" s="2"/>
      <c r="J60" s="84" t="s">
        <v>176</v>
      </c>
      <c r="K60" s="400"/>
      <c r="L60" s="401"/>
      <c r="M60" s="85" t="s">
        <v>177</v>
      </c>
      <c r="N60" s="164">
        <f>(K60*K61)/144</f>
        <v>0</v>
      </c>
      <c r="O60" s="165"/>
      <c r="P60" s="86" t="s">
        <v>178</v>
      </c>
    </row>
    <row r="61" spans="1:16" ht="24.75" customHeight="1" thickBot="1">
      <c r="A61" s="54" t="s">
        <v>184</v>
      </c>
      <c r="B61" s="374"/>
      <c r="C61" s="374"/>
      <c r="D61" s="374"/>
      <c r="E61" s="374"/>
      <c r="F61" s="374"/>
      <c r="G61" s="374"/>
      <c r="H61" s="375"/>
      <c r="I61" s="2"/>
      <c r="J61" s="54" t="s">
        <v>179</v>
      </c>
      <c r="K61" s="402"/>
      <c r="L61" s="403"/>
      <c r="M61" s="55" t="s">
        <v>76</v>
      </c>
      <c r="N61" s="345" t="str">
        <f>IF(ISBLANK(K61),"GIR=(glucose mls/kg/day x glucose concentration)/144","(glucose "&amp;K60&amp;"mls/kg/day x glucose concentration "&amp;K61&amp;"%) / 144")</f>
        <v>GIR=(glucose mls/kg/day x glucose concentration)/144</v>
      </c>
      <c r="O61" s="346"/>
      <c r="P61" s="347"/>
    </row>
    <row r="62" spans="1:16" ht="22.5" customHeight="1">
      <c r="A62" s="324" t="s">
        <v>185</v>
      </c>
      <c r="B62" s="324"/>
      <c r="C62" s="324"/>
      <c r="D62" s="324"/>
      <c r="E62" s="324"/>
      <c r="F62" s="324"/>
      <c r="G62" s="324"/>
      <c r="H62" s="324"/>
      <c r="I62" s="324"/>
      <c r="J62" s="324"/>
      <c r="K62" s="324"/>
      <c r="L62" s="324"/>
      <c r="M62" s="324"/>
      <c r="N62" s="324"/>
      <c r="O62" s="324"/>
      <c r="P62" s="324"/>
    </row>
    <row r="63" ht="10.5" customHeight="1"/>
  </sheetData>
  <sheetProtection algorithmName="SHA-512" hashValue="Iwq0XBZBCCJo2mlv/JW/j75xEL03oUbDmJ9a5AUJ5zf6/wm6BlgQ6JYCPoIZnbe2I6efhEXe+RBhs09pBWccgQ==" saltValue="74QVoPYO6W5ch0SOpWgXNQ==" spinCount="100000" sheet="1" selectLockedCells="1"/>
  <mergeCells count="207">
    <mergeCell ref="A61:H61"/>
    <mergeCell ref="A20:A21"/>
    <mergeCell ref="J15:K15"/>
    <mergeCell ref="J16:K16"/>
    <mergeCell ref="K23:L23"/>
    <mergeCell ref="J12:K12"/>
    <mergeCell ref="J13:K14"/>
    <mergeCell ref="L12:N12"/>
    <mergeCell ref="L13:N14"/>
    <mergeCell ref="N28:P28"/>
    <mergeCell ref="A25:A26"/>
    <mergeCell ref="B25:C26"/>
    <mergeCell ref="E25:E26"/>
    <mergeCell ref="F25:F26"/>
    <mergeCell ref="G25:H26"/>
    <mergeCell ref="J26:M28"/>
    <mergeCell ref="N26:N27"/>
    <mergeCell ref="O26:P27"/>
    <mergeCell ref="J25:M25"/>
    <mergeCell ref="G28:H28"/>
    <mergeCell ref="K60:L60"/>
    <mergeCell ref="K61:L61"/>
    <mergeCell ref="B34:C34"/>
    <mergeCell ref="B47:C47"/>
    <mergeCell ref="F54:H54"/>
    <mergeCell ref="F52:H52"/>
    <mergeCell ref="A37:H37"/>
    <mergeCell ref="B43:C43"/>
    <mergeCell ref="O12:P12"/>
    <mergeCell ref="O13:P14"/>
    <mergeCell ref="A23:H23"/>
    <mergeCell ref="D20:D21"/>
    <mergeCell ref="E20:E21"/>
    <mergeCell ref="F20:H21"/>
    <mergeCell ref="N20:P21"/>
    <mergeCell ref="F17:H18"/>
    <mergeCell ref="B20:C21"/>
    <mergeCell ref="O40:P40"/>
    <mergeCell ref="B53:C53"/>
    <mergeCell ref="K39:L39"/>
    <mergeCell ref="K38:L38"/>
    <mergeCell ref="A36:P36"/>
    <mergeCell ref="B35:C35"/>
    <mergeCell ref="A48:A49"/>
    <mergeCell ref="B44:C44"/>
    <mergeCell ref="G43:H43"/>
    <mergeCell ref="G44:H44"/>
    <mergeCell ref="G35:H35"/>
    <mergeCell ref="B42:C42"/>
    <mergeCell ref="G40:H40"/>
    <mergeCell ref="K24:L24"/>
    <mergeCell ref="J20:M22"/>
    <mergeCell ref="D22:E22"/>
    <mergeCell ref="F22:H22"/>
    <mergeCell ref="A62:P62"/>
    <mergeCell ref="J30:M30"/>
    <mergeCell ref="N30:P30"/>
    <mergeCell ref="N31:P31"/>
    <mergeCell ref="N32:P33"/>
    <mergeCell ref="N34:P34"/>
    <mergeCell ref="N35:P35"/>
    <mergeCell ref="A56:H56"/>
    <mergeCell ref="A57:A58"/>
    <mergeCell ref="B57:C58"/>
    <mergeCell ref="D57:E58"/>
    <mergeCell ref="F57:F58"/>
    <mergeCell ref="G57:H58"/>
    <mergeCell ref="B59:C59"/>
    <mergeCell ref="G60:H60"/>
    <mergeCell ref="G59:H59"/>
    <mergeCell ref="B60:C60"/>
    <mergeCell ref="A29:A30"/>
    <mergeCell ref="B52:C52"/>
    <mergeCell ref="N61:P61"/>
    <mergeCell ref="D24:E24"/>
    <mergeCell ref="G27:H27"/>
    <mergeCell ref="G24:H24"/>
    <mergeCell ref="B28:C28"/>
    <mergeCell ref="B27:C27"/>
    <mergeCell ref="B24:C24"/>
    <mergeCell ref="D25:D26"/>
    <mergeCell ref="A10:A11"/>
    <mergeCell ref="D34:E34"/>
    <mergeCell ref="G31:H31"/>
    <mergeCell ref="J33:M35"/>
    <mergeCell ref="A33:H33"/>
    <mergeCell ref="G34:H34"/>
    <mergeCell ref="F47:H47"/>
    <mergeCell ref="B29:C30"/>
    <mergeCell ref="D29:D30"/>
    <mergeCell ref="D38:E38"/>
    <mergeCell ref="G38:H38"/>
    <mergeCell ref="G42:H42"/>
    <mergeCell ref="B38:C38"/>
    <mergeCell ref="E29:E30"/>
    <mergeCell ref="F29:F30"/>
    <mergeCell ref="G29:H30"/>
    <mergeCell ref="B31:C31"/>
    <mergeCell ref="G41:H41"/>
    <mergeCell ref="B41:C41"/>
    <mergeCell ref="A39:H39"/>
    <mergeCell ref="J31:M32"/>
    <mergeCell ref="D48:D49"/>
    <mergeCell ref="E48:E49"/>
    <mergeCell ref="K40:L40"/>
    <mergeCell ref="K41:L41"/>
    <mergeCell ref="K42:L42"/>
    <mergeCell ref="K43:L43"/>
    <mergeCell ref="K44:L44"/>
    <mergeCell ref="K47:L47"/>
    <mergeCell ref="D47:E47"/>
    <mergeCell ref="A46:H46"/>
    <mergeCell ref="B40:C40"/>
    <mergeCell ref="B48:C49"/>
    <mergeCell ref="A17:A18"/>
    <mergeCell ref="J1:P2"/>
    <mergeCell ref="D5:E5"/>
    <mergeCell ref="F5:H5"/>
    <mergeCell ref="D2:E2"/>
    <mergeCell ref="D1:E1"/>
    <mergeCell ref="A4:H4"/>
    <mergeCell ref="J18:M18"/>
    <mergeCell ref="B10:C11"/>
    <mergeCell ref="B1:C1"/>
    <mergeCell ref="B2:C2"/>
    <mergeCell ref="J4:P4"/>
    <mergeCell ref="L5:M5"/>
    <mergeCell ref="A14:H14"/>
    <mergeCell ref="J9:P10"/>
    <mergeCell ref="B17:C18"/>
    <mergeCell ref="D17:D18"/>
    <mergeCell ref="E17:E18"/>
    <mergeCell ref="B5:C5"/>
    <mergeCell ref="B6:C6"/>
    <mergeCell ref="B8:C8"/>
    <mergeCell ref="B7:C7"/>
    <mergeCell ref="F19:H19"/>
    <mergeCell ref="J6:M6"/>
    <mergeCell ref="N6:P6"/>
    <mergeCell ref="L11:N11"/>
    <mergeCell ref="L15:N15"/>
    <mergeCell ref="L16:N16"/>
    <mergeCell ref="F7:H7"/>
    <mergeCell ref="D10:D11"/>
    <mergeCell ref="E10:E11"/>
    <mergeCell ref="J17:P17"/>
    <mergeCell ref="F10:H11"/>
    <mergeCell ref="B9:C9"/>
    <mergeCell ref="B15:C15"/>
    <mergeCell ref="B16:C16"/>
    <mergeCell ref="J8:P8"/>
    <mergeCell ref="B19:C19"/>
    <mergeCell ref="D15:E15"/>
    <mergeCell ref="B12:C12"/>
    <mergeCell ref="F12:H12"/>
    <mergeCell ref="N18:P18"/>
    <mergeCell ref="J11:K11"/>
    <mergeCell ref="F6:H6"/>
    <mergeCell ref="F16:H16"/>
    <mergeCell ref="A50:A51"/>
    <mergeCell ref="M47:N47"/>
    <mergeCell ref="J51:J53"/>
    <mergeCell ref="M51:M53"/>
    <mergeCell ref="N51:N53"/>
    <mergeCell ref="F48:H49"/>
    <mergeCell ref="B50:C51"/>
    <mergeCell ref="B54:C54"/>
    <mergeCell ref="O56:P56"/>
    <mergeCell ref="K56:L56"/>
    <mergeCell ref="D50:D51"/>
    <mergeCell ref="E50:E51"/>
    <mergeCell ref="F50:H51"/>
    <mergeCell ref="K49:N49"/>
    <mergeCell ref="K50:N50"/>
    <mergeCell ref="O55:P55"/>
    <mergeCell ref="K55:L55"/>
    <mergeCell ref="O54:P54"/>
    <mergeCell ref="O48:P50"/>
    <mergeCell ref="F53:H53"/>
    <mergeCell ref="K48:L48"/>
    <mergeCell ref="K51:L53"/>
    <mergeCell ref="K54:L54"/>
    <mergeCell ref="J48:J50"/>
    <mergeCell ref="N60:O60"/>
    <mergeCell ref="F8:H8"/>
    <mergeCell ref="F15:H15"/>
    <mergeCell ref="O41:P41"/>
    <mergeCell ref="O42:P42"/>
    <mergeCell ref="O43:P43"/>
    <mergeCell ref="O44:P44"/>
    <mergeCell ref="J46:P46"/>
    <mergeCell ref="N19:P19"/>
    <mergeCell ref="J37:P37"/>
    <mergeCell ref="M38:N38"/>
    <mergeCell ref="O38:P38"/>
    <mergeCell ref="O39:P39"/>
    <mergeCell ref="F9:H9"/>
    <mergeCell ref="J59:M59"/>
    <mergeCell ref="N59:P59"/>
    <mergeCell ref="O15:P15"/>
    <mergeCell ref="O16:P16"/>
    <mergeCell ref="N22:O22"/>
    <mergeCell ref="O11:P11"/>
    <mergeCell ref="J19:M19"/>
    <mergeCell ref="J58:P58"/>
    <mergeCell ref="O47:P47"/>
    <mergeCell ref="O51:P53"/>
  </mergeCells>
  <conditionalFormatting sqref="J6:J7">
    <cfRule type="containsText" dxfId="24" operator="containsText" text="FALSE" priority="4">
      <formula>NOT(ISERROR(SEARCH("FALSE",J6)))</formula>
    </cfRule>
  </conditionalFormatting>
  <conditionalFormatting sqref="J9">
    <cfRule type="containsText" dxfId="25" operator="containsText" text="FALSE" priority="5">
      <formula>NOT(ISERROR(SEARCH("FALSE",J9)))</formula>
    </cfRule>
  </conditionalFormatting>
  <conditionalFormatting sqref="J8:K8">
    <cfRule type="containsText" dxfId="26" operator="containsText" text="FALSE" priority="3">
      <formula>NOT(ISERROR(SEARCH("FALSE",J8)))</formula>
    </cfRule>
  </conditionalFormatting>
  <conditionalFormatting sqref="N5">
    <cfRule type="containsText" dxfId="27" operator="containsText" text="FALSE" priority="6">
      <formula>NOT(ISERROR(SEARCH("FALSE",N5)))</formula>
    </cfRule>
  </conditionalFormatting>
  <hyperlinks>
    <hyperlink ref="H1" location="'Wt Entry Page'!A1" display="Return to Entry Page"/>
  </hyperlinks>
  <pageMargins left="0.15748031496062992" right="0.15748031496062992" top="0.51181102362204722" bottom="0" header="0" footer="0"/>
  <pageSetup paperSize="9" fitToHeight="0" orientation="landscape"/>
  <headerFooter scaleWithDoc="1" alignWithMargins="1" differentFirst="0" differentOddEven="0">
    <oddHeader>&amp;L&amp;9
&amp;G&amp;C&amp;F&amp;RPage &amp;P of &amp;N</oddHeader>
  </headerFooter>
  <rowBreaks count="1" manualBreakCount="1">
    <brk id="36" max="16383" man="1"/>
  </rowBreaks>
  <legacyDrawingHF r:id="rId3"/>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scriptIds xmlns="http://schemas.microsoft.com/office/extensibility/maker/v1.0" id="script-ids-node-id">
  <scriptId id="ms-officescript%3A%2F%2Fonedrive_business_itemlink%2F01GX3OH2LHVWTWYIB5HZBI2K2UQ4J5L6KW:ms-officescript%3A%2F%2Fonedrive_business_sharinglink%2Fu!aHR0cHM6Ly9vdWhuaHN1ay1teS5zaGFyZXBvaW50LmNvbS86dTovZy9wZXJzb25hbC9sb3Vpc2VfcHVudGVyX291aF9uaHNfdWsvRVdldHAyd2dQVDVDalN0VWh4UFYtVllCUTVnQ2o0UWRmcXpCOVBpNWVxYlA2Zw"/>
  <scriptId xmlns="" id="ms-officescript%3A%2F%2Fonedrive_business_itemlink%2F01GX3OH2J3Z7QGAUH6SRAKRAFC7STSUKHG:ms-officescript%3A%2F%2Fonedrive_business_sharinglink%2Fu!aHR0cHM6Ly9vdWhuaHN1ay1teS5zaGFyZXBvaW50LmNvbS86dTovZy9wZXJzb25hbC9sb3Vpc2VfcHVudGVyX291aF9uaHNfdWsvRVR2UDRHQlFfcFJBcUlDaV9LY3FLT1lCcXdIUzRqdVVVdXJCaHZXZ09kT1o0Zw"/>
  <scriptId xmlns="" id="ms-officescript%3A%2F%2Fonedrive_business_itemlink%2F01GX3OH2IRAQHRYOZN75C2ZSUX6UM6UO7U:ms-officescript%3A%2F%2Fonedrive_business_sharinglink%2Fu!aHR0cHM6Ly9vdWhuaHN1ay1teS5zaGFyZXBvaW50LmNvbS86dTovZy9wZXJzb25hbC9sb3Vpc2VfcHVudGVyX291aF9uaHNfdWsvRVJFRUR4dzdMZjlGck1xWDlSbnFPX1FCMUk4T3BtMy1fWTV5a29wM3RMZGoyUQ"/>
</scriptIds>
</file>

<file path=customXml/item2.xml><?xml version="1.0" encoding="utf-8"?>
<ct:contentTypeSchema xmlns:ct="http://schemas.microsoft.com/office/2006/metadata/contentType" xmlns:ma="http://schemas.microsoft.com/office/2006/metadata/properties/metaAttributes" ct:_="" ma:_="" ma:contentTypeName="Document" ma:contentTypeID="0x0101006C5BE3849B9FE54CB1616B67272A872B" ma:contentTypeVersion="9" ma:contentTypeDescription="Create a new document." ma:contentTypeScope="" ma:versionID="23a4e7110a5d123911d41de31457b8d7">
  <xsd:schema xmlns:xsd="http://www.w3.org/2001/XMLSchema" xmlns:xs="http://www.w3.org/2001/XMLSchema" xmlns:p="http://schemas.microsoft.com/office/2006/metadata/properties" xmlns:ns2="32b6bdff-efb9-4efa-8ff1-961cbf026fc7" xmlns:ns3="799bda50-218d-4ee4-87a9-8843773c1706" targetNamespace="http://schemas.microsoft.com/office/2006/metadata/properties" ma:root="true" ma:fieldsID="fec0fe5c78434a5cab8e9679322e312d" ns2:_="" ns3:_="">
    <xsd:import namespace="32b6bdff-efb9-4efa-8ff1-961cbf026fc7"/>
    <xsd:import namespace="799bda50-218d-4ee4-87a9-8843773c17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6bdff-efb9-4efa-8ff1-961cbf026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9bda50-218d-4ee4-87a9-8843773c1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CECBA-B9F9-4047-98D0-FF1C1F1A4F13}">
  <ds:schemaRefs>
    <ds:schemaRef ds:uri="http://schemas.microsoft.com/sharepoint/v3/contenttype/forms"/>
  </ds:schemaRefs>
</ds:datastoreItem>
</file>

<file path=customXml/itemProps2.xml><?xml version="1.0" encoding="utf-8"?>
<ds:datastoreItem xmlns:ds="http://schemas.openxmlformats.org/officeDocument/2006/customXml" ds:itemID="{63D773D4-0A31-4642-BE50-1172C2104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b6bdff-efb9-4efa-8ff1-961cbf026fc7"/>
    <ds:schemaRef ds:uri="799bda50-218d-4ee4-87a9-8843773c1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61D4D5-7B08-401E-B9CC-E6AE6FE08E82}">
  <ds:schemaRefs>
    <ds:schemaRef ds:uri="http://schemas.microsoft.com/office/extensibility/maker/v1.0"/>
    <ds:schemaRef ds:uri=""/>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Weddell, Jennifer;Louise.Punter@ouh.nhs.uk</dc:creator>
  <dc:description/>
  <cp:keywords/>
  <cp:lastModifiedBy>Jennifer Weddell</cp:lastModifiedBy>
  <dcterms:created xsi:type="dcterms:W3CDTF">2022-03-09T10:11:24Z</dcterms:created>
  <dcterms:modified xsi:type="dcterms:W3CDTF">2025-03-11T14:46:06Z</dcterms:modified>
  <dc:subject/>
  <dc:title>SONeT drug guide V2.2 2023</dc:title>
</cp:coreProperties>
</file>

<file path=docProps/custom.xml><?xml version="1.0" encoding="utf-8"?>
<Properties xmlns:vt="http://schemas.openxmlformats.org/officeDocument/2006/docPropsVTypes" xmlns="http://schemas.openxmlformats.org/officeDocument/2006/custom-properties"/>
</file>