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3"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7" lowestEdited="7" rupBuild="29127"/>
  <workbookPr codeName="ThisWorkbook" defaultThemeVersion="166925"/>
  <workbookProtection workbookAlgorithmName="SHA-512" workbookHashValue="Tyh7qFvLhFEy+aJguYAuWrj8Cq+F/DlX5KlA66UafZSeQ1YFlDuBBsLcP6tZAiVhFAfi0gcgbT83L9qio1yvsg==" workbookSaltValue="EtzB8CXIvHDV4bFHhSlkRw==" workbookSpinCount="100000" lockStructure="1"/>
  <bookViews>
    <workbookView xWindow="-110" yWindow="-110" windowWidth="19420" windowHeight="10300"/>
  </bookViews>
  <sheets>
    <sheet name="Patient information entry" sheetId="3" r:id="rId1"/>
    <sheet name="Sheet1" sheetId="4" r:id="rId2" state="hidden"/>
    <sheet name="Wessex Drug Guide V3" sheetId="1" r:id="rId3"/>
  </sheets>
  <definedNames>
    <definedName name="_xlnm.Print_Area" comment="" localSheetId="0">'Patient information entry'!$B$2:$G$16</definedName>
    <definedName name="_xlnm.Print_Area" comment="" localSheetId="2">'Wessex Drug Guide V3'!$A$1:$P$108</definedName>
    <definedName name="Z_F5175776_6C8C_4E39_A637_5ABA93205FE7_.wvu.PrintArea" comment="" localSheetId="0" hidden="1">'Patient information entry'!$B$2:$G$16</definedName>
  </definedNames>
  <calcPr fullPrecision="1" calcId="191029"/>
  <customWorkbookViews>
    <customWorkbookView name="Entry Page" guid="{F5175776-6C8C-4E39-A637-5ABA93205FE7}" maximized="1" xWindow="-8" yWindow="-8" windowWidth="1936" windowHeight="1056"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<sst xmlns="http://schemas.openxmlformats.org/spreadsheetml/2006/main" uniqueCount="224" count="337">
  <si>
    <t>Patient Initials</t>
  </si>
  <si>
    <t>Date of Birth</t>
  </si>
  <si>
    <t>Gestatation</t>
  </si>
  <si>
    <t>Weight</t>
  </si>
  <si>
    <t>Check Weight</t>
  </si>
  <si>
    <t>Click here to open Wessex Drug Guide</t>
  </si>
  <si>
    <t>THE WEIGHT DOESN'T MATCH PLEASE RE CHECK</t>
  </si>
  <si>
    <t xml:space="preserve">BOTH WEIGHTS  MATCH, IS THIS THE CORRECT WEIGHT? </t>
  </si>
  <si>
    <t>PLEASE FILL IN WEIGHT &amp; CHECK WEIGHT</t>
  </si>
  <si>
    <t>Please select Y/N</t>
  </si>
  <si>
    <t>Yes</t>
  </si>
  <si>
    <t>No</t>
  </si>
  <si>
    <t>kg</t>
  </si>
  <si>
    <t>Return to Entry Page</t>
  </si>
  <si>
    <t>All drugs IV route unless otherwise specified</t>
  </si>
  <si>
    <t>Date of birth</t>
  </si>
  <si>
    <t>Gestation</t>
  </si>
  <si>
    <t xml:space="preserve">weeks </t>
  </si>
  <si>
    <t>Value needs completing</t>
  </si>
  <si>
    <t>RESUSCITATION</t>
  </si>
  <si>
    <t>UMBILICAL LINE LENGTHS</t>
  </si>
  <si>
    <t>Dose calculation</t>
  </si>
  <si>
    <t>Calculated dose</t>
  </si>
  <si>
    <t>Notes</t>
  </si>
  <si>
    <t>cm + cord length</t>
  </si>
  <si>
    <t>Adrenaline (IV/IO) 1:10,000</t>
  </si>
  <si>
    <t>10% Glucose</t>
  </si>
  <si>
    <t xml:space="preserve">4.2% Sodium bicarbonate </t>
  </si>
  <si>
    <t>10% Calcium gluconate</t>
  </si>
  <si>
    <t>mg</t>
  </si>
  <si>
    <t>SODIUM BICARBONATE CORRECTION</t>
  </si>
  <si>
    <t>mmol</t>
  </si>
  <si>
    <t>%</t>
  </si>
  <si>
    <t>Dilution</t>
  </si>
  <si>
    <t>cmH2O</t>
  </si>
  <si>
    <t>kPa</t>
  </si>
  <si>
    <t>OI:</t>
  </si>
  <si>
    <t>INTRAVENOUS FLUIDS</t>
  </si>
  <si>
    <t>GLUCOSE CONCENTRATIONS</t>
  </si>
  <si>
    <t>To calculate the amount (mmol) of sodium, potassium or calcium to add to maintenance fluids:</t>
  </si>
  <si>
    <t>Infusion dose range</t>
  </si>
  <si>
    <t>Glucose Concentrations greater than 12.5% must be given centrally</t>
  </si>
  <si>
    <t>SEDATIVE / MUSCLE RELAXANT - BOLUS</t>
  </si>
  <si>
    <t>NEUROLOGY - BOLUS</t>
  </si>
  <si>
    <t>CARDIOVASCULAR - BOLUS</t>
  </si>
  <si>
    <t>Rescue adrenaline  1:10,000</t>
  </si>
  <si>
    <t>4.5%/5% albumin</t>
  </si>
  <si>
    <t>CALCULATE GLUCOSE INFUSION RATE (GIR)</t>
  </si>
  <si>
    <t>Glucose fluid</t>
  </si>
  <si>
    <t xml:space="preserve">mg/kg/min </t>
  </si>
  <si>
    <t>Concentration</t>
  </si>
  <si>
    <t>The Southampton hub SONeT drug guide has been developed to provide support to clinicians in drawing up common drugs and infusions used in the stabilisation of neonatal patients.
The guidance does not override individual responsibility of healthcare professionals to make decisions appropriate to the circumstances of the individual patients.
The drug guide does not replace clinical judgement and must only be used as an aide. All drugs must still be prescribed on the patient's chart. All drug checks must still be completed as per routine medicines administration policy
It remains the responsibility of the prescriber to ensure all doses are correctly prescribed before they are administered. Furthermore, the authors or UHS will accept neither responsibility or liability for any drug administration or dosing errors.</t>
  </si>
  <si>
    <t>Kg (maximum 2 decimal places)</t>
  </si>
  <si>
    <t>INTUBATION                                Sequence- Atropine / Fentanyl / Suxamethonium</t>
  </si>
  <si>
    <t xml:space="preserve">Paraldehyde (PR)  </t>
  </si>
  <si>
    <t>UAC:</t>
  </si>
  <si>
    <t>UVC:</t>
  </si>
  <si>
    <t>Base excess</t>
  </si>
  <si>
    <t>OXYGEN INDEX</t>
  </si>
  <si>
    <t>Calculated using: (MAP x FiO2)/(PaO2 x 7.5)</t>
  </si>
  <si>
    <t>FiO2</t>
  </si>
  <si>
    <t>MAP</t>
  </si>
  <si>
    <t>PAO2</t>
  </si>
  <si>
    <t>Total mmol to add to fluid bag = A x B</t>
  </si>
  <si>
    <r>
      <t xml:space="preserve">Total mmol required in 24 hours (weight x mmol required/kg/day) = </t>
    </r>
    <r>
      <rPr>
        <sz val="9"/>
        <color rgb="FFFF0000"/>
        <rFont val="Calibri"/>
        <family val="2"/>
        <charset val="0"/>
      </rPr>
      <t>B</t>
    </r>
  </si>
  <si>
    <t>GIR:</t>
  </si>
  <si>
    <t>Total volume</t>
  </si>
  <si>
    <t>Dose in syringe</t>
  </si>
  <si>
    <t>62.5mg</t>
  </si>
  <si>
    <t>125mg</t>
  </si>
  <si>
    <t>After dilution:</t>
  </si>
  <si>
    <t>HYPOGLYCAEMIA BOLUS</t>
  </si>
  <si>
    <t>NEONATAL STANDARD INFUSIONS</t>
  </si>
  <si>
    <t>20mg</t>
  </si>
  <si>
    <t>40mg</t>
  </si>
  <si>
    <t>2mg</t>
  </si>
  <si>
    <t>12.5mg</t>
  </si>
  <si>
    <t>25mg</t>
  </si>
  <si>
    <t>1.25mg</t>
  </si>
  <si>
    <t>2.5mg</t>
  </si>
  <si>
    <t>250mg</t>
  </si>
  <si>
    <t>Please note:</t>
  </si>
  <si>
    <t>Preparation:</t>
  </si>
  <si>
    <t xml:space="preserve">Example: </t>
  </si>
  <si>
    <t>Considerations when choosing concentration:</t>
  </si>
  <si>
    <t>Infusion rate:</t>
  </si>
  <si>
    <t>Divide by 2 for half correction. Full correction calculated using: base deficit x weight (kg) x 0.4 = Xmmol sodium bicarbonate</t>
  </si>
  <si>
    <t>mL</t>
  </si>
  <si>
    <t xml:space="preserve">2.5mL/kg. Can be used to treat hypoglycaemia - repeat as required </t>
  </si>
  <si>
    <t>12.5%: Add 25mL of 50% glucose to 375mL of 10% glucose</t>
  </si>
  <si>
    <t>CENTRAL: 15%: Add 50mL of 50% glucose to 350mL of 10% glucose</t>
  </si>
  <si>
    <t>CENTRAL: 20%: Add 125mL of 50% glucose to 375mL of 10% glucose</t>
  </si>
  <si>
    <t>20mg/kg. Dilute with water for injection to 15mg/mL. Infuse over 20-30 min</t>
  </si>
  <si>
    <t>mL/kg/day</t>
  </si>
  <si>
    <t>10-20mL/kg. Infuse over 30 minutes. Repeat if required</t>
  </si>
  <si>
    <t>kg x 0.4mL/hr</t>
  </si>
  <si>
    <t>mL/hr</t>
  </si>
  <si>
    <t>20mL</t>
  </si>
  <si>
    <t>1.25mg/mL</t>
  </si>
  <si>
    <t>50mL</t>
  </si>
  <si>
    <t>2.5mg/mL</t>
  </si>
  <si>
    <t>1mg/mL</t>
  </si>
  <si>
    <t>2mg/mL</t>
  </si>
  <si>
    <t>5mg/mL</t>
  </si>
  <si>
    <t>0.25mg/mL</t>
  </si>
  <si>
    <t>Taken from the national framework published by the Neonatal &amp; Paediatric Pharmacy Group (2024) "Standardising intravenous infusions concentrations for neonates and children in the UK"</t>
  </si>
  <si>
    <t>0.8mL/kg of premixed paraldehyde in olive oil enema solution. Do not use if solution is brown or smells of vinegar</t>
  </si>
  <si>
    <t>For these infusions, a syringe is prepared using a set amount of drug and diluted to a set total volume. The rate of infusion is calculated using the set concentration, desired dose and weight of the baby</t>
  </si>
  <si>
    <t>Infusion rate - a lower rate will take longer to reach the baby (consider deadspace of the line &amp; giving set). Some infusion pumps will not infuse &lt;0.1mL/hr</t>
  </si>
  <si>
    <t>Total fluid requirement of baby - calculate the volume of fluid (mL/kg/day) for the intended dose, taking into account other infusions that may be required</t>
  </si>
  <si>
    <t>Increments for weaning or increasing the dose - a more concentrated solution will result in bigger changes in dose with each rate change than with a weaker one</t>
  </si>
  <si>
    <t>2units</t>
  </si>
  <si>
    <t>1mg</t>
  </si>
  <si>
    <t>25mL</t>
  </si>
  <si>
    <t>Reconstitute each 10mg vial with 10mL of 5% glucose. Further dilute with 5% glucose if required</t>
  </si>
  <si>
    <t>2mg/kg. Dilute 50mg to a total of 12.5mL with sodium chloride 0.9% (4mg/mL)</t>
  </si>
  <si>
    <t>Dilute with sodium chloride 0.9%</t>
  </si>
  <si>
    <t>20mg/kg. Dilute 50mg to 10mL with sodium chloride 0.9% (5mg/mL). Infuse over 30 minutes with inline 0.5 micron filter. Maximum infusion rate 1mg/kg/min</t>
  </si>
  <si>
    <t>0.3-0.6mg/kg/hr = 0.24-0.48mL/kg/hr</t>
  </si>
  <si>
    <t>0.3-0.6mg/kg/hr = 0.06-0.12mL/kg/hr</t>
  </si>
  <si>
    <t>Adrenaline                           (1mg/mL, 1:1000)</t>
  </si>
  <si>
    <t>Drug</t>
  </si>
  <si>
    <t>Naloxone IV</t>
  </si>
  <si>
    <t>Naloxone IM</t>
  </si>
  <si>
    <t>Atropine</t>
  </si>
  <si>
    <t>Fentanyl</t>
  </si>
  <si>
    <t>Suxamethonium</t>
  </si>
  <si>
    <t>Morphine</t>
  </si>
  <si>
    <t>Midazolam</t>
  </si>
  <si>
    <t>Vecuronium</t>
  </si>
  <si>
    <t>Atracurium</t>
  </si>
  <si>
    <t>Rocuronium</t>
  </si>
  <si>
    <t>Pancuronium</t>
  </si>
  <si>
    <t>Phenobarbital</t>
  </si>
  <si>
    <t>Phenytoin</t>
  </si>
  <si>
    <t>Lorazepam</t>
  </si>
  <si>
    <t>Adenosine</t>
  </si>
  <si>
    <t>Hydrocortisone</t>
  </si>
  <si>
    <t>Sodium chloride 0.9%</t>
  </si>
  <si>
    <t>Glucagon BOLUS IV/SC/IM</t>
  </si>
  <si>
    <t xml:space="preserve">Argipressin (vasopressin)         </t>
  </si>
  <si>
    <t>Dinoprostone</t>
  </si>
  <si>
    <t>Dobutamine</t>
  </si>
  <si>
    <t>Dopamine</t>
  </si>
  <si>
    <t>Glucagon</t>
  </si>
  <si>
    <t>Isoprenaline hydrochloride</t>
  </si>
  <si>
    <t>Milrinone</t>
  </si>
  <si>
    <t>Noradrenaline</t>
  </si>
  <si>
    <t>Reconstitute each 1mg vial with 1.1mL water for injection.                                                      Further dilute with 5% glucose</t>
  </si>
  <si>
    <t>2-4mL/kg. 4.2% sodium bicarbonate is equivalent to 0.5mmol/mL.                                                            Give over a minimum of 4 minutes (maximum 0.5mmol/kg/min)</t>
  </si>
  <si>
    <t>0.5-1mL PRN</t>
  </si>
  <si>
    <t>5-50 nanogram/kg/min = 0.3-3mL/kg/hr</t>
  </si>
  <si>
    <r>
      <t xml:space="preserve">IM injection for babies exposed to maternal opioids (prolonged effect within 4hrs of birth).       </t>
    </r>
    <r>
      <rPr>
        <sz val="9"/>
        <color rgb="FFFF0000"/>
        <rFont val="Calibri"/>
        <family val="2"/>
        <charset val="0"/>
      </rPr>
      <t xml:space="preserve"> Do not use in babies with acute opioid overdose</t>
    </r>
  </si>
  <si>
    <t>mmol/L</t>
  </si>
  <si>
    <t>UVC: (weight x1.5)+5.5cm+cord length      UAC: (weightx3)+9cm+cord length</t>
  </si>
  <si>
    <r>
      <t xml:space="preserve">Total volume of glucose bag (mL) / total glucose required in 24 hours (mL) = </t>
    </r>
    <r>
      <rPr>
        <sz val="9"/>
        <color rgb="FFFF0000"/>
        <rFont val="Calibri"/>
        <family val="2"/>
        <charset val="0"/>
      </rPr>
      <t>A</t>
    </r>
  </si>
  <si>
    <r>
      <t>Dilute with sodium chloride 0.9% or 5%/10% glucose.</t>
    </r>
    <r>
      <rPr>
        <sz val="9"/>
        <color rgb="FFFF0000"/>
        <rFont val="Calibri"/>
        <family val="2"/>
        <charset val="0"/>
      </rPr>
      <t xml:space="preserve"> May give up to 100 nanogram/kg/min if advised by cardiology/SONeT Consultant</t>
    </r>
  </si>
  <si>
    <t xml:space="preserve"> Dilute with sodium chloride 0.9% or 5%/10% glucose</t>
  </si>
  <si>
    <t>Dilute with sodium chloride 0.9% or 5%/10% glucose</t>
  </si>
  <si>
    <t>2.5mg/kg. Can dilute with sodium chloride 0.9% or 5% glucose. Give over 1-3 minutes</t>
  </si>
  <si>
    <t xml:space="preserve">2mL/kg. Can dilute with sodium chloride 0.9% or 5% glucose. Give over 10min.                                    10% calcium gluconate = 0.22mmol/mL </t>
  </si>
  <si>
    <t>completed weeks</t>
  </si>
  <si>
    <t>Take 0.1mL/kg of 1:10,000 and dilute to 10mL with sodium chloride 0.9% (1microgram/kg/mL)</t>
  </si>
  <si>
    <t>20microgram/kg (1:10,000 = 100microgram/mL). Dose can be repeated as required</t>
  </si>
  <si>
    <t>microgram</t>
  </si>
  <si>
    <t>10microgram/kg IV in opioid overdose.                                                                                                                  Repeat every 2-3 minutes as required (maximum total amount 2mg)</t>
  </si>
  <si>
    <t>200microgram IM</t>
  </si>
  <si>
    <t>20microgram/kg. Dilute 600microgram to a total of 15mL with sodium chloride 0.9% (40microgram/mL)</t>
  </si>
  <si>
    <t>4microgram/kg. Dilute 50microgram to a total of 5mL with sodium chloride 0.9% or 5% glucose (10microgram/mL)</t>
  </si>
  <si>
    <t>100microgram/kg.      Only use morphine if fentanyl not available                                                                                                                                         Dilute 1mg to a total of 10mL with sodium chloride 0.9% (100microgram/mL)</t>
  </si>
  <si>
    <t>100microgram/kg. Dilute 1mg  to a total of 10mL with sodium chloride 0.9% or 5%/10% glucose (100microgram/mL)</t>
  </si>
  <si>
    <t>100-200microgram/kg. Can dilute with sodium chloride 0.9% or 5%/10% glucose</t>
  </si>
  <si>
    <t>80microgram/kg. Can dilute with 5% glucose</t>
  </si>
  <si>
    <t>300-500microgram/kg. Dilute 5mg to 5mL with sodium chloride 0.9% or 5% glucose (1mg/mL)</t>
  </si>
  <si>
    <t>600microgram/kg. Can dilute with sodium chloride 0.9% or 5% glucose to 0.5-1mg/mL</t>
  </si>
  <si>
    <t>100microgram/kg. Additional doses can be given of 50microgram/kg.                                                        Can dilute with sodium chloride 0.9% or 5% glucose</t>
  </si>
  <si>
    <t>100-200microgram/kg. Can dilute with sodium chloride 0.9% or 5%/10% glucose.                                          Give over 2-3 minutes</t>
  </si>
  <si>
    <t>100microgram/kg. Take 1mg and dilute to 10mL with water for injection/ sodium chloride 0.9% (100microgram/mL). Give over 1-2 minutes</t>
  </si>
  <si>
    <t>150microgram/kg. Increase dose if required every 2 minutes by 50microgram/kg (maximum 300microgram/kg). Take 3mg and dilute to 3mL with sodium chloride 0.9% (1mg/mL).                     Use a 3-way tap to enable a rapid flush</t>
  </si>
  <si>
    <t>For patients with presumed hyperinsulism and low blood glucose level where intravenous access cannot be gained, consider administering glucagon 200microgram/kg (max 1mg) as a STAT intramuscular injection</t>
  </si>
  <si>
    <t>Morphine infusion. Desired dose 10microgram/kg/hr. Selected concentration 25microgram/mL. Syringe made up with 1.25mg morphine to a total volume of 50mL using a suitable diluent.</t>
  </si>
  <si>
    <t>10microgram/kg/hr = 0.4mL/kg/hr</t>
  </si>
  <si>
    <t>10microgram/mL</t>
  </si>
  <si>
    <t>200microgram</t>
  </si>
  <si>
    <t>0.1-1microgram/kg/min = 0.6-6mL/kg/hr</t>
  </si>
  <si>
    <t>20microgram/mL</t>
  </si>
  <si>
    <t>400microgram</t>
  </si>
  <si>
    <t>0.1-1microgram/kg/min = 0.3-3mL/kg/hr</t>
  </si>
  <si>
    <t>120-400microgram/kg/hr = 0.96-3.2mL/kg/hr</t>
  </si>
  <si>
    <t>120-400microgram/kg/hr = 0.48-1.6mL/kg/hr</t>
  </si>
  <si>
    <t>1microgram/mL</t>
  </si>
  <si>
    <t>50microgram</t>
  </si>
  <si>
    <t>5-20microgram/kg/min = 0.3-1.2mL/kg/hr</t>
  </si>
  <si>
    <t>5-20microgram/kg/min = 0.15-0.6mL/kg/hr</t>
  </si>
  <si>
    <t>40microgram/mL</t>
  </si>
  <si>
    <t>5-20microgram/kg/hr = 0.125-0.5mL/kg/hr</t>
  </si>
  <si>
    <t>Heart block 0.1-1microgram/kg/min = 0.6-6mL/kg/hr</t>
  </si>
  <si>
    <t>Heart block 0.1-1microgram/kg/min = 0.3-3mL/kg/hr</t>
  </si>
  <si>
    <t>250microgram/mL</t>
  </si>
  <si>
    <t>60-300microgram/kg/hr = 0.24-1.2mL/kg/hr</t>
  </si>
  <si>
    <t>500microgram/mL</t>
  </si>
  <si>
    <t>60-300microgram/kg/hr = 0.12-0.6mL/kg/hr</t>
  </si>
  <si>
    <t>100microgram/mL</t>
  </si>
  <si>
    <t>0.375-0.75microgram/kg/min = 0.225-0.45mL/kg/hr</t>
  </si>
  <si>
    <t>25microgram/mL</t>
  </si>
  <si>
    <t>5-20microgram/kg/hr = 0.2-0.8mL/kg/hr</t>
  </si>
  <si>
    <t>50microgram/mL</t>
  </si>
  <si>
    <t>5-20microgram/kg/hr = 0.1-0.4mL/kg/hr</t>
  </si>
  <si>
    <t xml:space="preserve">0.1-1microgram/kg/min = 0.6-6mL/kg/hr </t>
  </si>
  <si>
    <t>30-120microgram/kg/hr = 0.12-0.48mL/kg/hr</t>
  </si>
  <si>
    <t>30-120microgram/kg/hr = 0.03-0.12mL/kg/hr</t>
  </si>
  <si>
    <t>Drugs with short half lives (adrenaline, argipressin, dobutamine, dopamine, isoprenaline and noradrenaline) should be prepared in 20mL or 30mL sized syringes to minimise inconsistency in drug delivery. Changing the height of the syringe in relation to the position of the baby can cause a sudden change in drug delivery</t>
  </si>
  <si>
    <t>0.1unit/mL</t>
  </si>
  <si>
    <t xml:space="preserve"> 0.01-0.12 units/kg/hr = 0.1-1.2mL/kg/hr</t>
  </si>
  <si>
    <t>0.2unit/mL</t>
  </si>
  <si>
    <t>4units</t>
  </si>
  <si>
    <t>0.01-0.12 units/kg/hr = 0.05-0.6mL/kg/hr</t>
  </si>
  <si>
    <t>V3 2025. Review 2028. J Weddell RNC/ S Hibberd, neonatal pharmacist. Source data: Southampton Children's hospital neonatal formulary, UHS neonatal unit guidelines. Checked on Excel version 2602 and Microsoft 365.The drug guide does not replace clinical judgement and must only be used as an aide. All drugs must still be prescribed on the patient's chart. All drug checks must still be completed as per routine medicines administration policy</t>
  </si>
  <si>
    <r>
      <t/>
    </r>
    <r>
      <rPr>
        <sz val="9"/>
        <color rgb="FFFF0000"/>
        <rFont val="Calibri"/>
        <family val="2"/>
        <charset val="0"/>
      </rPr>
      <t>Prepare in 20mL or 30mL sized syringe.</t>
    </r>
    <r>
      <rPr>
        <sz val="9"/>
        <color theme="1"/>
        <rFont val="Calibri"/>
        <family val="2"/>
        <charset val="0"/>
      </rPr>
      <t xml:space="preserve"> Dilute with 5% glucose</t>
    </r>
  </si>
  <si>
    <r>
      <t/>
    </r>
    <r>
      <rPr>
        <sz val="9"/>
        <color rgb="FFFF0000"/>
        <rFont val="Calibri"/>
        <family val="2"/>
        <charset val="0"/>
      </rPr>
      <t>Prepare in 20mL or 30mL sized syringe.</t>
    </r>
    <r>
      <rPr>
        <sz val="9"/>
        <color theme="1"/>
        <rFont val="Calibri"/>
        <family val="2"/>
        <charset val="0"/>
      </rPr>
      <t xml:space="preserve"> Dilute with sodium chloride 0.9% or 5%/10% glucose</t>
    </r>
  </si>
  <si>
    <r>
      <t/>
    </r>
    <r>
      <rPr>
        <sz val="9"/>
        <color rgb="FFFF0000"/>
        <rFont val="Calibri"/>
        <family val="2"/>
        <charset val="0"/>
      </rPr>
      <t xml:space="preserve">Prepare in 20mL or 30mL sized syringe. </t>
    </r>
    <r>
      <rPr>
        <sz val="9"/>
        <color theme="1"/>
        <rFont val="Calibri"/>
        <family val="2"/>
        <charset val="0"/>
      </rPr>
      <t>Dilute with sodium chloride 0.9% or 5%/10% glucose</t>
    </r>
  </si>
  <si>
    <r>
      <t xml:space="preserve">Prepare in 20mL or 30mL sized syringe. </t>
    </r>
    <r>
      <rPr>
        <sz val="9"/>
        <rFont val="Calibri"/>
        <family val="2"/>
        <charset val="0"/>
      </rPr>
      <t>Dilute with 5% glucose</t>
    </r>
  </si>
  <si>
    <r>
      <t/>
    </r>
    <r>
      <rPr>
        <sz val="9"/>
        <color rgb="FFFF0000"/>
        <rFont val="Calibri"/>
        <family val="2"/>
        <charset val="0"/>
      </rPr>
      <t xml:space="preserve">Prepare in 20mL or 30mL sized syringe. </t>
    </r>
    <r>
      <rPr>
        <sz val="9"/>
        <color theme="1"/>
        <rFont val="Calibri"/>
        <family val="2"/>
        <charset val="0"/>
      </rPr>
      <t>Dilute with 5% glucose</t>
    </r>
  </si>
  <si>
    <r>
      <t/>
    </r>
    <r>
      <rPr>
        <b/>
        <sz val="9"/>
        <rFont val="Calibri"/>
        <family val="2"/>
        <charset val="0"/>
      </rPr>
      <t>Maximum rate 1mmol/kg/hr.</t>
    </r>
    <r>
      <rPr>
        <sz val="9"/>
        <rFont val="Calibri"/>
        <family val="2"/>
        <charset val="0"/>
      </rPr>
      <t xml:space="preserve"> Dilute in 5%/10% glucose. </t>
    </r>
    <r>
      <rPr>
        <b/>
        <sz val="9"/>
        <rFont val="Calibri"/>
        <family val="2"/>
        <charset val="0"/>
      </rPr>
      <t>4.2%: Central:</t>
    </r>
    <r>
      <rPr>
        <sz val="9"/>
        <rFont val="Calibri"/>
        <family val="2"/>
        <charset val="0"/>
      </rPr>
      <t xml:space="preserve"> can give undiluted. </t>
    </r>
    <r>
      <rPr>
        <b/>
        <sz val="9"/>
        <rFont val="Calibri"/>
        <family val="2"/>
        <charset val="0"/>
      </rPr>
      <t>Peripheral:</t>
    </r>
    <r>
      <rPr>
        <sz val="9"/>
        <rFont val="Calibri"/>
        <family val="2"/>
        <charset val="0"/>
      </rPr>
      <t xml:space="preserve"> 1 in 4 dilution. </t>
    </r>
    <r>
      <rPr>
        <b/>
        <sz val="9"/>
        <rFont val="Calibri"/>
        <family val="2"/>
        <charset val="0"/>
      </rPr>
      <t>8.4%:  Central</t>
    </r>
    <r>
      <rPr>
        <sz val="9"/>
        <rFont val="Calibri"/>
        <family val="2"/>
        <charset val="0"/>
      </rPr>
      <t xml:space="preserve">: 1 in 5 dilution. </t>
    </r>
    <r>
      <rPr>
        <b/>
        <sz val="9"/>
        <rFont val="Calibri"/>
        <family val="2"/>
        <charset val="0"/>
      </rPr>
      <t>Peripheral:</t>
    </r>
    <r>
      <rPr>
        <sz val="9"/>
        <rFont val="Calibri"/>
        <family val="2"/>
        <charset val="0"/>
      </rPr>
      <t xml:space="preserve"> 1 in 10 dilution              </t>
    </r>
  </si>
</sst>
</file>

<file path=xl/styles.xml><?xml version="1.0" encoding="utf-8"?>
<styleSheet xmlns:mc="http://schemas.openxmlformats.org/markup-compatibility/2006" xmlns:x14ac="http://schemas.microsoft.com/office/spreadsheetml/2009/9/ac" xmlns="http://schemas.openxmlformats.org/spreadsheetml/2006/main" mc:Ignorable="x14ac">
  <numFmts count="5">
    <numFmt numFmtId="164" formatCode="d/m/yy;@"/>
    <numFmt numFmtId="165" formatCode="0.0"/>
    <numFmt numFmtId="166" formatCode="dd/mm/yyyy;;"/>
    <numFmt numFmtId="167" formatCode="dd/mm/yyyy;@"/>
    <numFmt numFmtId="168" formatCode="0.00;[Red]0.00"/>
  </numFmts>
  <fonts count="21">
    <font>
      <sz val="11"/>
      <color theme="1"/>
      <name val="Calibri"/>
      <family val="2"/>
      <charset val="0"/>
      <scheme val="minor"/>
    </font>
    <font>
      <sz val="8"/>
      <color theme="1"/>
      <name val="Arial"/>
      <family val="2"/>
      <charset val="0"/>
    </font>
    <font>
      <sz val="8"/>
      <name val="Arial"/>
      <family val="2"/>
      <charset val="0"/>
    </font>
    <font>
      <sz val="8"/>
      <color rgb="FFFF0000"/>
      <name val="Arial"/>
      <family val="2"/>
      <charset val="0"/>
    </font>
    <font>
      <sz val="11"/>
      <color theme="1"/>
      <name val="Calibri"/>
      <family val="2"/>
      <charset val="0"/>
      <scheme val="minor"/>
    </font>
    <font>
      <sz val="9"/>
      <color theme="1"/>
      <name val="Arial"/>
      <family val="2"/>
      <charset val="0"/>
    </font>
    <font>
      <sz val="11"/>
      <color theme="1"/>
      <name val="Arial"/>
      <family val="2"/>
      <charset val="0"/>
    </font>
    <font>
      <sz val="14"/>
      <color theme="1"/>
      <name val="Arial"/>
      <family val="2"/>
      <charset val="0"/>
    </font>
    <font>
      <u val="single"/>
      <sz val="11"/>
      <color theme="10"/>
      <name val="Calibri"/>
      <family val="2"/>
      <charset val="0"/>
      <scheme val="minor"/>
    </font>
    <font>
      <sz val="8"/>
      <color theme="0"/>
      <name val="Arial"/>
      <family val="2"/>
      <charset val="0"/>
    </font>
    <font>
      <sz val="14"/>
      <color theme="1"/>
      <name val="Calibri"/>
      <family val="2"/>
      <charset val="0"/>
      <scheme val="minor"/>
    </font>
    <font>
      <sz val="11"/>
      <name val="Arial"/>
      <family val="2"/>
      <charset val="0"/>
    </font>
    <font>
      <sz val="10"/>
      <color theme="1"/>
      <name val="Arial"/>
      <family val="2"/>
      <charset val="0"/>
    </font>
    <font>
      <sz val="9"/>
      <color theme="1"/>
      <name val="Calibri"/>
      <family val="2"/>
      <charset val="0"/>
    </font>
    <font>
      <sz val="8"/>
      <color theme="1"/>
      <name val="Calibri"/>
      <family val="2"/>
      <charset val="0"/>
    </font>
    <font>
      <sz val="10"/>
      <color theme="1"/>
      <name val="Calibri"/>
      <family val="2"/>
      <charset val="0"/>
    </font>
    <font>
      <sz val="9"/>
      <name val="Calibri"/>
      <family val="2"/>
      <charset val="0"/>
    </font>
    <font>
      <b/>
      <sz val="9"/>
      <name val="Calibri"/>
      <family val="2"/>
      <charset val="0"/>
    </font>
    <font>
      <sz val="9"/>
      <color rgb="FFFF0000"/>
      <name val="Calibri"/>
      <family val="2"/>
      <charset val="0"/>
    </font>
    <font>
      <b/>
      <sz val="11"/>
      <color theme="1"/>
      <name val="Calibri"/>
      <family val="2"/>
      <charset val="0"/>
    </font>
    <font>
      <b/>
      <sz val="9"/>
      <color theme="1"/>
      <name val="Calibri"/>
      <family val="2"/>
      <charset val="0"/>
    </font>
  </fonts>
  <fills count="14">
    <fill>
      <patternFill patternType="none">
        <fgColor indexed="64"/>
        <bgColor indexed="65"/>
      </patternFill>
    </fill>
    <fill>
      <patternFill patternType="gray125">
        <fgColor indexed="64"/>
        <bgColor indexed="65"/>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CCFF"/>
        <bgColor indexed="64"/>
      </patternFill>
    </fill>
    <fill>
      <patternFill patternType="solid">
        <fgColor rgb="FFFFC0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7"/>
        <bgColor indexed="64"/>
      </patternFill>
    </fill>
    <fill>
      <patternFill patternType="solid">
        <fgColor theme="9"/>
        <bgColor indexed="64"/>
      </patternFill>
    </fill>
  </fills>
  <borders count="53">
    <border>
      <left/>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s>
  <cellStyleXfs count="280">
    <xf numFmtId="0" fontId="0" fillId="0" borderId="0"/>
    <xf numFmtId="0" fontId="8" fillId="0" borderId="0" applyAlignment="0" applyBorder="0" applyNumberFormat="0" applyFill="0" applyProtection="0"/>
  </cellStyleXfs>
  <cellXfs>
    <xf numFmtId="0" fontId="0" fillId="0" borderId="0" xfId="0"/>
    <xf numFmtId="0" fontId="1" fillId="0" borderId="0" xfId="0" applyAlignment="1" applyFont="1" applyProtection="1">
      <alignment vertical="center" wrapText="1"/>
      <protection locked="0"/>
    </xf>
    <xf numFmtId="0" fontId="1" fillId="0" borderId="0" xfId="0" applyAlignment="1" applyFont="1">
      <alignment vertical="center" wrapText="1"/>
    </xf>
    <xf numFmtId="0" fontId="1" fillId="0" borderId="0" xfId="0" applyAlignment="1" applyFont="1" applyProtection="1">
      <alignment horizontal="left" vertical="top" wrapText="1"/>
      <protection locked="0"/>
    </xf>
    <xf numFmtId="0" fontId="10" fillId="0" borderId="0" xfId="0" applyFont="1"/>
    <xf numFmtId="0" fontId="7" fillId="2" borderId="1" xfId="0" applyAlignment="1" applyBorder="1" applyFont="1" applyFill="1">
      <alignment horizontal="right" vertical="center" wrapText="1"/>
    </xf>
    <xf numFmtId="0" fontId="9" fillId="0" borderId="0" xfId="0" applyAlignment="1" applyFont="1" applyProtection="1">
      <alignment vertical="center" wrapText="1"/>
      <protection hidden="1"/>
    </xf>
    <xf numFmtId="0" fontId="1" fillId="0" borderId="0" xfId="0" applyAlignment="1" applyFont="1" applyProtection="1">
      <alignment vertical="center" wrapText="1"/>
      <protection hidden="1"/>
    </xf>
    <xf numFmtId="0" fontId="2" fillId="0" borderId="0" xfId="0" applyAlignment="1" applyFont="1" applyProtection="1">
      <alignment vertical="center" wrapText="1"/>
      <protection hidden="1"/>
    </xf>
    <xf numFmtId="0" fontId="1" fillId="2" borderId="2" xfId="0" applyAlignment="1" applyBorder="1" applyFont="1" applyFill="1">
      <alignment horizontal="center" vertical="center" wrapText="1"/>
    </xf>
    <xf numFmtId="0" fontId="1" fillId="2" borderId="3" xfId="0" applyAlignment="1" applyBorder="1" applyFont="1" applyFill="1" applyProtection="1">
      <alignment vertical="center" wrapText="1"/>
      <protection locked="0"/>
    </xf>
    <xf numFmtId="0" fontId="7" fillId="2" borderId="4" xfId="0" applyAlignment="1" applyBorder="1" applyFont="1" applyFill="1">
      <alignment horizontal="right" vertical="center" wrapText="1"/>
    </xf>
    <xf numFmtId="0" fontId="7" fillId="3" borderId="5" xfId="0" applyAlignment="1" applyBorder="1" applyFont="1" applyFill="1" applyProtection="1">
      <alignment horizontal="center" vertical="center" wrapText="1"/>
      <protection locked="0"/>
    </xf>
    <xf numFmtId="2" fontId="7" fillId="3" borderId="6" xfId="0" applyAlignment="1" applyBorder="1" applyFont="1" applyNumberFormat="1" applyFill="1" applyProtection="1">
      <alignment horizontal="center" vertical="center" wrapText="1"/>
      <protection locked="0"/>
    </xf>
    <xf numFmtId="2" fontId="7" fillId="3" borderId="7" xfId="0" applyAlignment="1" applyBorder="1" applyFont="1" applyNumberFormat="1" applyFill="1" applyProtection="1">
      <alignment horizontal="center" vertical="center" wrapText="1"/>
      <protection locked="0"/>
    </xf>
    <xf numFmtId="0" fontId="1" fillId="4" borderId="8" xfId="0" applyAlignment="1" applyBorder="1" applyFont="1" applyFill="1" applyProtection="1">
      <alignment vertical="center" wrapText="1"/>
      <protection locked="0"/>
    </xf>
    <xf numFmtId="0" fontId="7" fillId="5" borderId="9" xfId="0" applyAlignment="1" applyBorder="1" applyFont="1" applyFill="1">
      <alignment horizontal="right" vertical="center" wrapText="1"/>
    </xf>
    <xf numFmtId="0" fontId="9" fillId="0" borderId="0" xfId="0" applyAlignment="1" applyFont="1" applyProtection="1">
      <alignment horizontal="center" vertical="center" wrapText="1"/>
      <protection hidden="1"/>
    </xf>
    <xf numFmtId="0" fontId="3" fillId="0" borderId="1" xfId="0" applyAlignment="1" applyBorder="1" applyFont="1">
      <alignment vertical="center" wrapText="1"/>
    </xf>
    <xf numFmtId="0" fontId="9" fillId="0" borderId="0" xfId="0" applyAlignment="1" applyFont="1">
      <alignment horizontal="left" vertical="top" wrapText="1"/>
    </xf>
    <xf numFmtId="0" fontId="9" fillId="0" borderId="2" xfId="0" applyAlignment="1" applyBorder="1" applyFont="1">
      <alignment vertical="center" wrapText="1"/>
    </xf>
    <xf numFmtId="0" fontId="1" fillId="0" borderId="0" xfId="0" applyAlignment="1" applyFont="1">
      <alignment horizontal="left" vertical="top" wrapText="1"/>
    </xf>
    <xf numFmtId="1" fontId="7" fillId="3" borderId="6" xfId="0" applyAlignment="1" applyBorder="1" applyFont="1" applyNumberFormat="1" applyFill="1" applyProtection="1">
      <alignment horizontal="center" vertical="center" wrapText="1"/>
      <protection locked="0"/>
    </xf>
    <xf numFmtId="167" fontId="7" fillId="3" borderId="6" xfId="0" applyAlignment="1" applyBorder="1" applyFont="1" applyNumberFormat="1" applyFill="1" applyProtection="1">
      <alignment horizontal="center" vertical="center" wrapText="1"/>
      <protection locked="0"/>
    </xf>
    <xf numFmtId="0" fontId="14" fillId="3" borderId="6" xfId="0" applyAlignment="1" applyBorder="1" applyFont="1" applyFill="1" applyProtection="1">
      <alignment horizontal="center" vertical="center" wrapText="1"/>
      <protection hidden="1"/>
    </xf>
    <xf numFmtId="2" fontId="14" fillId="3" borderId="6" xfId="0" applyAlignment="1" applyBorder="1" applyFont="1" applyNumberFormat="1" applyFill="1" applyProtection="1">
      <alignment horizontal="center" vertical="center" wrapText="1"/>
      <protection hidden="1"/>
    </xf>
    <xf numFmtId="0" fontId="14" fillId="0" borderId="0" xfId="0" applyAlignment="1" applyFont="1" applyProtection="1">
      <alignment vertical="center" wrapText="1"/>
      <protection locked="0"/>
    </xf>
    <xf numFmtId="166" fontId="14" fillId="3" borderId="6" xfId="0" applyAlignment="1" applyBorder="1" applyFont="1" applyNumberFormat="1" applyFill="1" applyProtection="1">
      <alignment vertical="center" wrapText="1"/>
      <protection hidden="1"/>
    </xf>
    <xf numFmtId="0" fontId="16" fillId="0" borderId="0" xfId="0" applyAlignment="1" applyFont="1">
      <alignment vertical="center" wrapText="1"/>
    </xf>
    <xf numFmtId="0" fontId="13" fillId="0" borderId="0" xfId="0" applyAlignment="1" applyFont="1" applyProtection="1">
      <alignment vertical="center" wrapText="1"/>
      <protection locked="0"/>
    </xf>
    <xf numFmtId="0" fontId="13" fillId="3" borderId="0" xfId="0" applyAlignment="1" applyFont="1" applyFill="1" applyProtection="1">
      <alignment vertical="center" wrapText="1"/>
      <protection locked="0"/>
    </xf>
    <xf numFmtId="0" fontId="14" fillId="0" borderId="0" xfId="0" applyAlignment="1" applyFont="1">
      <alignment horizontal="left" vertical="center" wrapText="1"/>
    </xf>
    <xf numFmtId="0" fontId="14" fillId="0" borderId="0" xfId="0" applyAlignment="1" applyFont="1">
      <alignment horizontal="center" vertical="center" wrapText="1"/>
    </xf>
    <xf numFmtId="164" fontId="14" fillId="0" borderId="0" xfId="0" applyAlignment="1" applyFont="1" applyNumberFormat="1">
      <alignment horizontal="center" vertical="center" wrapText="1"/>
    </xf>
    <xf numFmtId="0" fontId="14" fillId="0" borderId="0" xfId="0" applyAlignment="1" applyFont="1">
      <alignment vertical="center" wrapText="1"/>
    </xf>
    <xf numFmtId="0" fontId="14" fillId="6" borderId="0" xfId="0" applyAlignment="1" applyFont="1" applyFill="1">
      <alignment horizontal="left" vertical="center" wrapText="1"/>
    </xf>
    <xf numFmtId="0" fontId="14" fillId="3" borderId="0" xfId="0" applyAlignment="1" applyFont="1" applyFill="1">
      <alignment horizontal="center" vertical="center" wrapText="1"/>
    </xf>
    <xf numFmtId="0" fontId="14" fillId="3" borderId="0" xfId="0" applyAlignment="1" applyFont="1" applyFill="1">
      <alignment vertical="center" wrapText="1"/>
    </xf>
    <xf numFmtId="0" fontId="16" fillId="0" borderId="10" xfId="0" applyAlignment="1" applyBorder="1" applyFont="1">
      <alignment horizontal="right" vertical="center" wrapText="1"/>
    </xf>
    <xf numFmtId="165" fontId="16" fillId="0" borderId="6" xfId="0" applyAlignment="1" applyBorder="1" applyFont="1" applyNumberFormat="1">
      <alignment vertical="center" wrapText="1"/>
    </xf>
    <xf numFmtId="0" fontId="16" fillId="3" borderId="11" xfId="0" applyAlignment="1" applyBorder="1" applyFont="1" applyFill="1">
      <alignment vertical="center" wrapText="1"/>
    </xf>
    <xf numFmtId="165" fontId="16" fillId="3" borderId="12" xfId="0" applyAlignment="1" applyBorder="1" applyFont="1" applyNumberFormat="1" applyFill="1">
      <alignment vertical="center" wrapText="1"/>
    </xf>
    <xf numFmtId="0" fontId="16" fillId="3" borderId="13" xfId="0" applyAlignment="1" applyBorder="1" applyFont="1" applyFill="1">
      <alignment vertical="center" wrapText="1"/>
    </xf>
    <xf numFmtId="0" fontId="16" fillId="7" borderId="10" xfId="0" applyAlignment="1" applyBorder="1" applyFont="1" applyFill="1">
      <alignment vertical="center" wrapText="1"/>
    </xf>
    <xf numFmtId="0" fontId="16" fillId="0" borderId="13" xfId="0" applyAlignment="1" applyBorder="1" applyFont="1">
      <alignment vertical="center" wrapText="1"/>
    </xf>
    <xf numFmtId="0" fontId="16" fillId="0" borderId="14" xfId="0" applyAlignment="1" applyBorder="1" applyFont="1">
      <alignment vertical="center" wrapText="1"/>
    </xf>
    <xf numFmtId="1" fontId="16" fillId="3" borderId="15" xfId="0" applyAlignment="1" applyBorder="1" applyFont="1" applyNumberFormat="1" applyFill="1">
      <alignment vertical="center" wrapText="1"/>
    </xf>
    <xf numFmtId="165" fontId="16" fillId="3" borderId="15" xfId="0" applyAlignment="1" applyBorder="1" applyFont="1" applyNumberFormat="1" applyFill="1">
      <alignment vertical="center" wrapText="1"/>
    </xf>
    <xf numFmtId="0" fontId="16" fillId="7" borderId="10" xfId="0" applyAlignment="1" applyBorder="1" applyFont="1" applyFill="1">
      <alignment horizontal="right" vertical="center" wrapText="1"/>
    </xf>
    <xf numFmtId="0" fontId="16" fillId="0" borderId="16" xfId="0" applyAlignment="1" applyBorder="1" applyFont="1">
      <alignment horizontal="right" vertical="center" wrapText="1"/>
    </xf>
    <xf numFmtId="1" fontId="16" fillId="3" borderId="15" xfId="0" applyAlignment="1" applyBorder="1" applyFont="1" applyNumberFormat="1" applyFill="1">
      <alignment horizontal="right" vertical="center" wrapText="1"/>
    </xf>
    <xf numFmtId="0" fontId="16" fillId="3" borderId="11" xfId="0" applyAlignment="1" applyBorder="1" applyFont="1" applyFill="1">
      <alignment horizontal="left" vertical="center" wrapText="1"/>
    </xf>
    <xf numFmtId="1" fontId="16" fillId="3" borderId="12" xfId="0" applyAlignment="1" applyBorder="1" applyFont="1" applyNumberFormat="1" applyFill="1">
      <alignment horizontal="right" vertical="center" wrapText="1"/>
    </xf>
    <xf numFmtId="0" fontId="16" fillId="3" borderId="13" xfId="0" applyAlignment="1" applyBorder="1" applyFont="1" applyFill="1">
      <alignment horizontal="left" vertical="center" wrapText="1"/>
    </xf>
    <xf numFmtId="0" fontId="16" fillId="3" borderId="0" xfId="0" applyAlignment="1" applyFont="1" applyFill="1">
      <alignment vertical="center" wrapText="1"/>
    </xf>
    <xf numFmtId="0" fontId="16" fillId="3" borderId="0" xfId="0" applyAlignment="1" applyFont="1" applyFill="1">
      <alignment vertical="center"/>
    </xf>
    <xf numFmtId="1" fontId="16" fillId="3" borderId="0" xfId="0" applyAlignment="1" applyFont="1" applyNumberFormat="1" applyFill="1">
      <alignment vertical="center" wrapText="1"/>
    </xf>
    <xf numFmtId="1" fontId="16" fillId="3" borderId="12" xfId="0" applyAlignment="1" applyBorder="1" applyFont="1" applyNumberFormat="1" applyFill="1">
      <alignment vertical="center" wrapText="1"/>
    </xf>
    <xf numFmtId="0" fontId="16" fillId="0" borderId="10" xfId="0" applyAlignment="1" applyBorder="1" applyFont="1">
      <alignment vertical="center" wrapText="1"/>
    </xf>
    <xf numFmtId="0" fontId="16" fillId="0" borderId="13" xfId="0" applyAlignment="1" applyBorder="1" applyFont="1">
      <alignment horizontal="left" vertical="center" wrapText="1"/>
    </xf>
    <xf numFmtId="0" fontId="16" fillId="0" borderId="17" xfId="0" applyAlignment="1" applyBorder="1" applyFont="1">
      <alignment vertical="center" wrapText="1"/>
    </xf>
    <xf numFmtId="0" fontId="13" fillId="0" borderId="0" xfId="0" applyAlignment="1" applyFont="1">
      <alignment horizontal="center" wrapText="1"/>
    </xf>
    <xf numFmtId="0" fontId="13" fillId="0" borderId="12" xfId="0" applyAlignment="1" applyBorder="1" applyFont="1">
      <alignment horizontal="right" wrapText="1"/>
    </xf>
    <xf numFmtId="0" fontId="13" fillId="0" borderId="13" xfId="0" applyAlignment="1" applyBorder="1" applyFont="1">
      <alignment horizontal="left" wrapText="1"/>
    </xf>
    <xf numFmtId="0" fontId="13" fillId="0" borderId="18" xfId="0" applyAlignment="1" applyBorder="1" applyFont="1">
      <alignment horizontal="right" wrapText="1"/>
    </xf>
    <xf numFmtId="0" fontId="13" fillId="0" borderId="19" xfId="0" applyAlignment="1" applyBorder="1" applyFont="1">
      <alignment horizontal="left" wrapText="1"/>
    </xf>
    <xf numFmtId="0" fontId="13" fillId="3" borderId="20" xfId="0" applyAlignment="1" applyBorder="1" applyFont="1" applyFill="1">
      <alignment horizontal="right" vertical="center" wrapText="1" indent="1"/>
    </xf>
    <xf numFmtId="2" fontId="13" fillId="3" borderId="20" xfId="0" applyAlignment="1" applyBorder="1" applyFont="1" applyNumberFormat="1" applyFill="1">
      <alignment horizontal="center" vertical="center" wrapText="1"/>
    </xf>
    <xf numFmtId="0" fontId="13" fillId="3" borderId="20" xfId="0" applyAlignment="1" applyBorder="1" applyFont="1" applyFill="1">
      <alignment horizontal="left" vertical="center" wrapText="1"/>
    </xf>
    <xf numFmtId="0" fontId="13" fillId="3" borderId="20" xfId="0" applyAlignment="1" applyBorder="1" applyFont="1" applyFill="1">
      <alignment vertical="center" wrapText="1"/>
    </xf>
    <xf numFmtId="0" fontId="13" fillId="3" borderId="21" xfId="0" applyAlignment="1" applyBorder="1" applyFont="1" applyFill="1">
      <alignment vertical="center" wrapText="1"/>
    </xf>
    <xf numFmtId="0" fontId="5" fillId="5" borderId="6" xfId="0" applyAlignment="1" applyBorder="1" applyFont="1" applyFill="1">
      <alignment horizontal="center" vertical="center" wrapText="1"/>
    </xf>
    <xf numFmtId="0" fontId="13" fillId="0" borderId="0" xfId="0" applyAlignment="1" applyFont="1">
      <alignment vertical="center" wrapText="1"/>
    </xf>
    <xf numFmtId="165" fontId="16" fillId="8" borderId="14" xfId="0" applyAlignment="1" applyBorder="1" applyFont="1" applyNumberFormat="1" applyFill="1" applyProtection="1">
      <alignment vertical="center" wrapText="1"/>
      <protection locked="0"/>
    </xf>
    <xf numFmtId="1" fontId="16" fillId="8" borderId="12" xfId="0" applyAlignment="1" applyBorder="1" applyFont="1" applyNumberFormat="1" applyFill="1" applyProtection="1">
      <alignment vertical="center" wrapText="1"/>
      <protection locked="0"/>
    </xf>
    <xf numFmtId="165" fontId="16" fillId="8" borderId="12" xfId="0" applyAlignment="1" applyBorder="1" applyFont="1" applyNumberFormat="1" applyFill="1" applyProtection="1">
      <alignment vertical="center" wrapText="1"/>
      <protection locked="0"/>
    </xf>
    <xf numFmtId="0" fontId="16" fillId="8" borderId="12" xfId="0" applyAlignment="1" applyBorder="1" applyFont="1" applyFill="1" applyProtection="1">
      <alignment horizontal="right" vertical="center" wrapText="1"/>
      <protection locked="0"/>
    </xf>
    <xf numFmtId="2" fontId="13" fillId="3" borderId="20" xfId="0" applyAlignment="1" applyBorder="1" applyFont="1" applyNumberFormat="1" applyFill="1">
      <alignment vertical="center" wrapText="1"/>
    </xf>
    <xf numFmtId="0" fontId="16" fillId="0" borderId="22" xfId="0" applyAlignment="1" applyBorder="1" applyFont="1">
      <alignment horizontal="center" vertical="center" wrapText="1"/>
    </xf>
    <xf numFmtId="0" fontId="16" fillId="0" borderId="23" xfId="0" applyAlignment="1" applyBorder="1" applyFont="1">
      <alignment horizontal="center" vertical="center" wrapText="1"/>
    </xf>
    <xf numFmtId="0" fontId="16" fillId="0" borderId="14" xfId="0" applyAlignment="1" applyBorder="1" applyFont="1">
      <alignment horizontal="center" vertical="center" wrapText="1"/>
    </xf>
    <xf numFmtId="0" fontId="16" fillId="0" borderId="24" xfId="0" applyAlignment="1" applyBorder="1" applyFont="1">
      <alignment horizontal="center" vertical="center" wrapText="1"/>
    </xf>
    <xf numFmtId="0" fontId="13" fillId="3" borderId="6" xfId="0" applyAlignment="1" applyBorder="1" applyFont="1" applyFill="1">
      <alignment horizontal="center" vertical="center" wrapText="1"/>
    </xf>
    <xf numFmtId="0" fontId="13" fillId="0" borderId="6" xfId="0" applyAlignment="1" applyBorder="1" applyFont="1">
      <alignment horizontal="center" vertical="center" wrapText="1"/>
    </xf>
    <xf numFmtId="0" fontId="13" fillId="0" borderId="25" xfId="0" applyAlignment="1" applyBorder="1" applyFont="1">
      <alignment horizontal="center" vertical="center" wrapText="1"/>
    </xf>
    <xf numFmtId="2" fontId="16" fillId="3" borderId="15" xfId="0" applyAlignment="1" applyBorder="1" applyFont="1" applyNumberFormat="1" applyFill="1">
      <alignment vertical="center" wrapText="1"/>
    </xf>
    <xf numFmtId="1" fontId="14" fillId="3" borderId="6" xfId="0" applyAlignment="1" applyBorder="1" applyFont="1" applyNumberFormat="1" applyFill="1" applyProtection="1">
      <alignment horizontal="center" vertical="center" wrapText="1"/>
      <protection hidden="1"/>
    </xf>
    <xf numFmtId="0" fontId="14" fillId="0" borderId="0" xfId="0" applyAlignment="1" applyFont="1">
      <alignment horizontal="center" wrapText="1"/>
    </xf>
    <xf numFmtId="165" fontId="16" fillId="0" borderId="12" xfId="0" applyAlignment="1" applyBorder="1" applyFont="1" applyNumberFormat="1">
      <alignment vertical="center" wrapText="1"/>
    </xf>
    <xf numFmtId="168" fontId="16" fillId="0" borderId="14" xfId="0" applyAlignment="1" applyBorder="1" applyFont="1" applyNumberFormat="1">
      <alignment vertical="center" wrapText="1"/>
    </xf>
    <xf numFmtId="0" fontId="1" fillId="2" borderId="4" xfId="0" applyAlignment="1" applyBorder="1" applyFont="1" applyFill="1">
      <alignment horizontal="center" vertical="center" wrapText="1"/>
    </xf>
    <xf numFmtId="0" fontId="1" fillId="2" borderId="26" xfId="0" applyAlignment="1" applyBorder="1" applyFont="1" applyFill="1">
      <alignment horizontal="center" vertical="center" wrapText="1"/>
    </xf>
    <xf numFmtId="0" fontId="1" fillId="2" borderId="27" xfId="0" applyAlignment="1" applyBorder="1" applyFont="1" applyFill="1">
      <alignment horizontal="center" vertical="center" wrapText="1"/>
    </xf>
    <xf numFmtId="0" fontId="1" fillId="2" borderId="28" xfId="0" applyAlignment="1" applyBorder="1" applyFont="1" applyFill="1">
      <alignment horizontal="center" vertical="center" wrapText="1"/>
    </xf>
    <xf numFmtId="0" fontId="1" fillId="2" borderId="29" xfId="0" applyAlignment="1" applyBorder="1" applyFont="1" applyFill="1">
      <alignment horizontal="center" vertical="center" wrapText="1"/>
    </xf>
    <xf numFmtId="0" fontId="1" fillId="2" borderId="0" xfId="0" applyAlignment="1" applyFont="1" applyFill="1">
      <alignment horizontal="center" vertical="center" wrapText="1"/>
    </xf>
    <xf numFmtId="0" fontId="7" fillId="2" borderId="29" xfId="0" applyAlignment="1" applyBorder="1" applyFont="1" applyFill="1">
      <alignment horizontal="left" vertical="center" wrapText="1"/>
    </xf>
    <xf numFmtId="0" fontId="7" fillId="2" borderId="0" xfId="0" applyAlignment="1" applyFont="1" applyFill="1">
      <alignment horizontal="left" vertical="center" wrapText="1"/>
    </xf>
    <xf numFmtId="0" fontId="7" fillId="2" borderId="2" xfId="0" applyAlignment="1" applyBorder="1" applyFont="1" applyFill="1">
      <alignment horizontal="left" vertical="center" wrapText="1"/>
    </xf>
    <xf numFmtId="0" fontId="1" fillId="2" borderId="1" xfId="0" applyAlignment="1" applyBorder="1" applyFont="1" applyFill="1">
      <alignment horizontal="center" vertical="center" wrapText="1"/>
    </xf>
    <xf numFmtId="0" fontId="6" fillId="0" borderId="30" xfId="0" applyAlignment="1" applyBorder="1" applyFont="1">
      <alignment horizontal="center" vertical="center" wrapText="1"/>
    </xf>
    <xf numFmtId="0" fontId="12" fillId="0" borderId="31" xfId="0" applyAlignment="1" applyBorder="1" applyFont="1">
      <alignment horizontal="center" vertical="center" wrapText="1"/>
    </xf>
    <xf numFmtId="0" fontId="12" fillId="0" borderId="32" xfId="0" applyAlignment="1" applyBorder="1" applyFont="1">
      <alignment horizontal="center" vertical="center" wrapText="1"/>
    </xf>
    <xf numFmtId="0" fontId="11" fillId="4" borderId="33" xfId="0" applyAlignment="1" applyBorder="1" applyFont="1" applyFill="1" applyProtection="1">
      <alignment horizontal="center" vertical="center" wrapText="1"/>
      <protection hidden="1"/>
    </xf>
    <xf numFmtId="0" fontId="11" fillId="4" borderId="34" xfId="0" applyAlignment="1" applyBorder="1" applyFont="1" applyFill="1" applyProtection="1">
      <alignment horizontal="center" vertical="center" wrapText="1"/>
      <protection hidden="1"/>
    </xf>
    <xf numFmtId="0" fontId="3" fillId="0" borderId="30" xfId="0" applyAlignment="1" applyBorder="1" applyFont="1">
      <alignment horizontal="center" vertical="center" wrapText="1"/>
    </xf>
    <xf numFmtId="0" fontId="3" fillId="0" borderId="31" xfId="0" applyAlignment="1" applyBorder="1" applyFont="1">
      <alignment horizontal="center" vertical="center" wrapText="1"/>
    </xf>
    <xf numFmtId="0" fontId="3" fillId="0" borderId="32" xfId="0" applyAlignment="1" applyBorder="1" applyFont="1">
      <alignment horizontal="center" vertical="center" wrapText="1"/>
    </xf>
    <xf numFmtId="0" fontId="8" fillId="9" borderId="33" xfId="1" applyAlignment="1" applyBorder="1" applyFont="1" applyFill="1" applyProtection="1" quotePrefix="1">
      <alignment horizontal="center" vertical="center"/>
      <protection hidden="1" locked="0"/>
    </xf>
    <xf numFmtId="0" fontId="8" fillId="9" borderId="34" xfId="1" applyAlignment="1" applyBorder="1" applyFont="1" applyFill="1" applyProtection="1" quotePrefix="1">
      <alignment horizontal="center" vertical="center"/>
      <protection hidden="1" locked="0"/>
    </xf>
    <xf numFmtId="0" fontId="8" fillId="9" borderId="8" xfId="1" applyAlignment="1" applyBorder="1" applyFont="1" applyFill="1" applyProtection="1" quotePrefix="1">
      <alignment horizontal="center" vertical="center"/>
      <protection hidden="1" locked="0"/>
    </xf>
    <xf numFmtId="0" fontId="1" fillId="2" borderId="34" xfId="0" applyAlignment="1" applyBorder="1" applyFont="1" applyFill="1">
      <alignment horizontal="center" vertical="center" wrapText="1"/>
    </xf>
    <xf numFmtId="0" fontId="1" fillId="5" borderId="33" xfId="0" applyAlignment="1" applyBorder="1" applyFont="1" applyFill="1">
      <alignment horizontal="center" vertical="center" wrapText="1"/>
    </xf>
    <xf numFmtId="0" fontId="1" fillId="5" borderId="34" xfId="0" applyAlignment="1" applyBorder="1" applyFont="1" applyFill="1">
      <alignment horizontal="center" vertical="center" wrapText="1"/>
    </xf>
    <xf numFmtId="0" fontId="1" fillId="5" borderId="8" xfId="0" applyAlignment="1" applyBorder="1" applyFont="1" applyFill="1">
      <alignment horizontal="center" vertical="center" wrapText="1"/>
    </xf>
    <xf numFmtId="0" fontId="7" fillId="5" borderId="15" xfId="0" applyAlignment="1" applyBorder="1" applyFont="1" applyFill="1">
      <alignment vertical="center" wrapText="1"/>
    </xf>
    <xf numFmtId="0" fontId="7" fillId="5" borderId="24" xfId="0" applyAlignment="1" applyBorder="1" applyFont="1" applyFill="1">
      <alignment vertical="center" wrapText="1"/>
    </xf>
    <xf numFmtId="0" fontId="7" fillId="5" borderId="22" xfId="0" applyAlignment="1" applyBorder="1" applyFont="1" applyFill="1">
      <alignment vertical="center" wrapText="1"/>
    </xf>
    <xf numFmtId="0" fontId="13" fillId="0" borderId="15" xfId="0" applyAlignment="1" applyBorder="1" applyFont="1">
      <alignment horizontal="center" vertical="center" wrapText="1"/>
    </xf>
    <xf numFmtId="0" fontId="13" fillId="0" borderId="24" xfId="0" applyAlignment="1" applyBorder="1" applyFont="1">
      <alignment horizontal="center" vertical="center" wrapText="1"/>
    </xf>
    <xf numFmtId="0" fontId="13" fillId="0" borderId="11" xfId="0" applyAlignment="1" applyBorder="1" applyFont="1">
      <alignment horizontal="center" vertical="center" wrapText="1"/>
    </xf>
    <xf numFmtId="0" fontId="13" fillId="0" borderId="35" xfId="0" applyAlignment="1" applyBorder="1" applyFont="1">
      <alignment horizontal="center" vertical="center" wrapText="1"/>
    </xf>
    <xf numFmtId="0" fontId="13" fillId="0" borderId="20" xfId="0" applyAlignment="1" applyBorder="1" applyFont="1">
      <alignment horizontal="center" vertical="center" wrapText="1"/>
    </xf>
    <xf numFmtId="0" fontId="13" fillId="0" borderId="21" xfId="0" applyAlignment="1" applyBorder="1" applyFont="1">
      <alignment horizontal="center" vertical="center" wrapText="1"/>
    </xf>
    <xf numFmtId="0" fontId="20" fillId="0" borderId="0" xfId="0" applyAlignment="1" applyFont="1">
      <alignment horizontal="center" vertical="center" wrapText="1"/>
    </xf>
    <xf numFmtId="0" fontId="20" fillId="0" borderId="0" xfId="0" applyAlignment="1" applyFont="1">
      <alignment horizontal="right" vertical="center" wrapText="1"/>
    </xf>
    <xf numFmtId="0" fontId="8" fillId="10" borderId="0" xfId="1" applyAlignment="1" applyBorder="1" applyFont="1" applyFill="1" applyProtection="1">
      <alignment horizontal="center" vertical="center" wrapText="1"/>
      <protection locked="0"/>
    </xf>
    <xf numFmtId="0" fontId="15" fillId="3" borderId="0" xfId="0" applyAlignment="1" applyFont="1" applyFill="1">
      <alignment horizontal="center" vertical="center" wrapText="1"/>
    </xf>
    <xf numFmtId="0" fontId="13" fillId="0" borderId="12" xfId="0" applyAlignment="1" applyBorder="1" applyFont="1">
      <alignment horizontal="center" vertical="center" wrapText="1"/>
    </xf>
    <xf numFmtId="0" fontId="13" fillId="0" borderId="13" xfId="0" applyAlignment="1" applyBorder="1" applyFont="1">
      <alignment horizontal="center" vertical="center" wrapText="1"/>
    </xf>
    <xf numFmtId="0" fontId="13" fillId="0" borderId="14" xfId="0" applyAlignment="1" applyBorder="1" applyFont="1">
      <alignment horizontal="center" vertical="center" wrapText="1"/>
    </xf>
    <xf numFmtId="0" fontId="20" fillId="11" borderId="6" xfId="0" applyAlignment="1" applyBorder="1" applyFont="1" applyFill="1">
      <alignment horizontal="center" vertical="center" wrapText="1"/>
    </xf>
    <xf numFmtId="0" fontId="13" fillId="5" borderId="12" xfId="0" applyAlignment="1" applyBorder="1" applyFont="1" applyFill="1">
      <alignment horizontal="center" vertical="center" wrapText="1"/>
    </xf>
    <xf numFmtId="0" fontId="13" fillId="5" borderId="14" xfId="0" applyAlignment="1" applyBorder="1" applyFont="1" applyFill="1">
      <alignment horizontal="center" vertical="center" wrapText="1"/>
    </xf>
    <xf numFmtId="0" fontId="13" fillId="5" borderId="13" xfId="0" applyAlignment="1" applyBorder="1" applyFont="1" applyFill="1">
      <alignment horizontal="center" vertical="center" wrapText="1"/>
    </xf>
    <xf numFmtId="0" fontId="13" fillId="3" borderId="12" xfId="0" applyAlignment="1" applyBorder="1" applyFont="1" applyFill="1">
      <alignment horizontal="center" vertical="center" wrapText="1"/>
    </xf>
    <xf numFmtId="0" fontId="13" fillId="3" borderId="13" xfId="0" applyAlignment="1" applyBorder="1" applyFont="1" applyFill="1">
      <alignment horizontal="center" vertical="center" wrapText="1"/>
    </xf>
    <xf numFmtId="0" fontId="16" fillId="3" borderId="15" xfId="0" applyAlignment="1" applyBorder="1" applyFont="1" applyFill="1">
      <alignment horizontal="center" vertical="center" wrapText="1"/>
    </xf>
    <xf numFmtId="0" fontId="16" fillId="3" borderId="11" xfId="0" applyAlignment="1" applyBorder="1" applyFont="1" applyFill="1">
      <alignment horizontal="center" vertical="center" wrapText="1"/>
    </xf>
    <xf numFmtId="0" fontId="16" fillId="3" borderId="35" xfId="0" applyAlignment="1" applyBorder="1" applyFont="1" applyFill="1">
      <alignment horizontal="center" vertical="center" wrapText="1"/>
    </xf>
    <xf numFmtId="0" fontId="16" fillId="3" borderId="21" xfId="0" applyAlignment="1" applyBorder="1" applyFont="1" applyFill="1">
      <alignment horizontal="center" vertical="center" wrapText="1"/>
    </xf>
    <xf numFmtId="0" fontId="13" fillId="3" borderId="14" xfId="0" applyAlignment="1" applyBorder="1" applyFont="1" applyFill="1">
      <alignment horizontal="center" vertical="center" wrapText="1"/>
    </xf>
    <xf numFmtId="0" fontId="13" fillId="3" borderId="15" xfId="0" applyAlignment="1" applyBorder="1" applyFont="1" applyFill="1">
      <alignment horizontal="center" vertical="center" wrapText="1"/>
    </xf>
    <xf numFmtId="0" fontId="13" fillId="3" borderId="24" xfId="0" applyAlignment="1" applyBorder="1" applyFont="1" applyFill="1">
      <alignment horizontal="center" vertical="center" wrapText="1"/>
    </xf>
    <xf numFmtId="0" fontId="13" fillId="3" borderId="11" xfId="0" applyAlignment="1" applyBorder="1" applyFont="1" applyFill="1">
      <alignment horizontal="center" vertical="center" wrapText="1"/>
    </xf>
    <xf numFmtId="0" fontId="13" fillId="3" borderId="35" xfId="0" applyAlignment="1" applyBorder="1" applyFont="1" applyFill="1">
      <alignment horizontal="center" vertical="center" wrapText="1"/>
    </xf>
    <xf numFmtId="0" fontId="13" fillId="3" borderId="20" xfId="0" applyAlignment="1" applyBorder="1" applyFont="1" applyFill="1">
      <alignment horizontal="center" vertical="center" wrapText="1"/>
    </xf>
    <xf numFmtId="0" fontId="13" fillId="3" borderId="21" xfId="0" applyAlignment="1" applyBorder="1" applyFont="1" applyFill="1">
      <alignment horizontal="center" vertical="center" wrapText="1"/>
    </xf>
    <xf numFmtId="0" fontId="13" fillId="3" borderId="15" xfId="0" applyAlignment="1" applyBorder="1" applyFont="1" applyFill="1">
      <alignment horizontal="left" vertical="center" wrapText="1"/>
    </xf>
    <xf numFmtId="0" fontId="13" fillId="3" borderId="24" xfId="0" applyAlignment="1" applyBorder="1" applyFont="1" applyFill="1">
      <alignment horizontal="left" vertical="center" wrapText="1"/>
    </xf>
    <xf numFmtId="0" fontId="13" fillId="3" borderId="11" xfId="0" applyAlignment="1" applyBorder="1" applyFont="1" applyFill="1">
      <alignment horizontal="left" vertical="center" wrapText="1"/>
    </xf>
    <xf numFmtId="0" fontId="20" fillId="3" borderId="29" xfId="0" applyAlignment="1" applyBorder="1" applyFont="1" applyFill="1">
      <alignment horizontal="left" vertical="center" wrapText="1"/>
    </xf>
    <xf numFmtId="0" fontId="20" fillId="3" borderId="0" xfId="0" applyAlignment="1" applyFont="1" applyFill="1">
      <alignment horizontal="left" vertical="center" wrapText="1"/>
    </xf>
    <xf numFmtId="0" fontId="20" fillId="3" borderId="36" xfId="0" applyAlignment="1" applyBorder="1" applyFont="1" applyFill="1">
      <alignment horizontal="left" vertical="center" wrapText="1"/>
    </xf>
    <xf numFmtId="0" fontId="13" fillId="3" borderId="35" xfId="0" applyAlignment="1" applyBorder="1" applyFont="1" applyFill="1">
      <alignment horizontal="left" vertical="center" wrapText="1"/>
    </xf>
    <xf numFmtId="0" fontId="13" fillId="3" borderId="21" xfId="0" applyAlignment="1" applyBorder="1" applyFont="1" applyFill="1">
      <alignment horizontal="left" vertical="center" wrapText="1"/>
    </xf>
    <xf numFmtId="0" fontId="13" fillId="3" borderId="29" xfId="0" applyAlignment="1" applyBorder="1" applyFont="1" applyFill="1">
      <alignment horizontal="left" vertical="center" wrapText="1"/>
    </xf>
    <xf numFmtId="0" fontId="13" fillId="3" borderId="0" xfId="0" applyAlignment="1" applyFont="1" applyFill="1">
      <alignment horizontal="left" vertical="center" wrapText="1"/>
    </xf>
    <xf numFmtId="0" fontId="13" fillId="3" borderId="36" xfId="0" applyAlignment="1" applyBorder="1" applyFont="1" applyFill="1">
      <alignment horizontal="left" vertical="center" wrapText="1"/>
    </xf>
    <xf numFmtId="0" fontId="20" fillId="3" borderId="15" xfId="0" applyAlignment="1" applyBorder="1" applyFont="1" applyFill="1">
      <alignment horizontal="left" vertical="center" wrapText="1"/>
    </xf>
    <xf numFmtId="0" fontId="20" fillId="3" borderId="24" xfId="0" applyAlignment="1" applyBorder="1" applyFont="1" applyFill="1">
      <alignment horizontal="left" vertical="center" wrapText="1"/>
    </xf>
    <xf numFmtId="0" fontId="20" fillId="3" borderId="11" xfId="0" applyAlignment="1" applyBorder="1" applyFont="1" applyFill="1">
      <alignment horizontal="left" vertical="center" wrapText="1"/>
    </xf>
    <xf numFmtId="0" fontId="13" fillId="5" borderId="6" xfId="0" applyAlignment="1" applyBorder="1" applyFont="1" applyFill="1">
      <alignment horizontal="center" vertical="center" wrapText="1"/>
    </xf>
    <xf numFmtId="0" fontId="5" fillId="5" borderId="12" xfId="0" applyAlignment="1" applyBorder="1" applyFont="1" applyFill="1">
      <alignment horizontal="center" vertical="center" wrapText="1"/>
    </xf>
    <xf numFmtId="0" fontId="5" fillId="5" borderId="14" xfId="0" applyAlignment="1" applyBorder="1" applyFont="1" applyFill="1">
      <alignment horizontal="center" vertical="center" wrapText="1"/>
    </xf>
    <xf numFmtId="0" fontId="5" fillId="5" borderId="13" xfId="0" applyAlignment="1" applyBorder="1" applyFont="1" applyFill="1">
      <alignment horizontal="center" vertical="center" wrapText="1"/>
    </xf>
    <xf numFmtId="0" fontId="13" fillId="0" borderId="7" xfId="0" applyAlignment="1" applyBorder="1" applyFont="1">
      <alignment horizontal="center" vertical="center" wrapText="1"/>
    </xf>
    <xf numFmtId="0" fontId="18" fillId="0" borderId="15" xfId="0" applyAlignment="1" applyBorder="1" applyFont="1">
      <alignment horizontal="center" vertical="center" wrapText="1"/>
    </xf>
    <xf numFmtId="0" fontId="17" fillId="11" borderId="37" xfId="0" applyAlignment="1" applyBorder="1" applyFont="1" applyFill="1">
      <alignment horizontal="center" vertical="center" wrapText="1"/>
    </xf>
    <xf numFmtId="0" fontId="17" fillId="11" borderId="5" xfId="0" applyAlignment="1" applyBorder="1" applyFont="1" applyFill="1">
      <alignment horizontal="center" vertical="center" wrapText="1"/>
    </xf>
    <xf numFmtId="0" fontId="17" fillId="11" borderId="38" xfId="0" applyAlignment="1" applyBorder="1" applyFont="1" applyFill="1">
      <alignment horizontal="center" vertical="center" wrapText="1"/>
    </xf>
    <xf numFmtId="0" fontId="16" fillId="0" borderId="10" xfId="0" applyAlignment="1" applyBorder="1" applyFont="1">
      <alignment horizontal="center" vertical="center" wrapText="1"/>
    </xf>
    <xf numFmtId="0" fontId="16" fillId="0" borderId="6" xfId="0" applyAlignment="1" applyBorder="1" applyFont="1">
      <alignment horizontal="center" vertical="center" wrapText="1"/>
    </xf>
    <xf numFmtId="0" fontId="16" fillId="0" borderId="39" xfId="0" applyAlignment="1" applyBorder="1" applyFont="1">
      <alignment horizontal="center" vertical="center" wrapText="1"/>
    </xf>
    <xf numFmtId="0" fontId="18" fillId="0" borderId="10" xfId="0" applyAlignment="1" applyBorder="1" applyFont="1">
      <alignment horizontal="center" vertical="center" wrapText="1"/>
    </xf>
    <xf numFmtId="0" fontId="18" fillId="0" borderId="6" xfId="0" applyAlignment="1" applyBorder="1" applyFont="1">
      <alignment horizontal="center" vertical="center" wrapText="1"/>
    </xf>
    <xf numFmtId="0" fontId="18" fillId="0" borderId="39" xfId="0" applyAlignment="1" applyBorder="1" applyFont="1">
      <alignment horizontal="center" vertical="center" wrapText="1"/>
    </xf>
    <xf numFmtId="0" fontId="18" fillId="0" borderId="40" xfId="0" applyAlignment="1" applyBorder="1" applyFont="1">
      <alignment horizontal="center" vertical="center" wrapText="1"/>
    </xf>
    <xf numFmtId="0" fontId="18" fillId="0" borderId="41" xfId="0" applyAlignment="1" applyBorder="1" applyFont="1">
      <alignment horizontal="center" vertical="center" wrapText="1"/>
    </xf>
    <xf numFmtId="0" fontId="18" fillId="0" borderId="42" xfId="0" applyAlignment="1" applyBorder="1" applyFont="1">
      <alignment horizontal="center" vertical="center" wrapText="1"/>
    </xf>
    <xf numFmtId="0" fontId="16" fillId="0" borderId="40" xfId="0" applyAlignment="1" applyBorder="1" applyFont="1">
      <alignment horizontal="center" vertical="center" wrapText="1"/>
    </xf>
    <xf numFmtId="0" fontId="16" fillId="0" borderId="41" xfId="0" applyAlignment="1" applyBorder="1" applyFont="1">
      <alignment horizontal="center" vertical="center" wrapText="1"/>
    </xf>
    <xf numFmtId="0" fontId="16" fillId="0" borderId="42" xfId="0" applyAlignment="1" applyBorder="1" applyFont="1">
      <alignment horizontal="center" vertical="center" wrapText="1"/>
    </xf>
    <xf numFmtId="0" fontId="16" fillId="0" borderId="15" xfId="0" applyAlignment="1" applyBorder="1" applyFont="1">
      <alignment horizontal="center" vertical="center" wrapText="1"/>
    </xf>
    <xf numFmtId="0" fontId="16" fillId="0" borderId="29" xfId="0" applyAlignment="1" applyBorder="1" applyFont="1">
      <alignment horizontal="center" vertical="center" wrapText="1"/>
    </xf>
    <xf numFmtId="0" fontId="16" fillId="0" borderId="2" xfId="0" applyAlignment="1" applyBorder="1" applyFont="1">
      <alignment horizontal="center" vertical="center" wrapText="1"/>
    </xf>
    <xf numFmtId="0" fontId="16" fillId="0" borderId="43" xfId="0" applyAlignment="1" applyBorder="1" applyFont="1">
      <alignment horizontal="center" vertical="center" wrapText="1"/>
    </xf>
    <xf numFmtId="0" fontId="16" fillId="0" borderId="8" xfId="0" applyAlignment="1" applyBorder="1" applyFont="1">
      <alignment horizontal="center" vertical="center" wrapText="1"/>
    </xf>
    <xf numFmtId="0" fontId="15" fillId="8" borderId="0" xfId="0" applyAlignment="1" applyFont="1" applyFill="1">
      <alignment horizontal="center" vertical="center" wrapText="1"/>
    </xf>
    <xf numFmtId="0" fontId="16" fillId="7" borderId="23" xfId="0" applyAlignment="1" applyBorder="1" applyFont="1" applyFill="1">
      <alignment horizontal="center" vertical="center" wrapText="1"/>
    </xf>
    <xf numFmtId="0" fontId="16" fillId="7" borderId="13" xfId="0" applyAlignment="1" applyBorder="1" applyFont="1" applyFill="1">
      <alignment horizontal="center" vertical="center" wrapText="1"/>
    </xf>
    <xf numFmtId="0" fontId="16" fillId="7" borderId="12" xfId="0" applyAlignment="1" applyBorder="1" applyFont="1" applyFill="1">
      <alignment horizontal="center" vertical="center" wrapText="1"/>
    </xf>
    <xf numFmtId="0" fontId="16" fillId="3" borderId="44" xfId="0" applyAlignment="1" applyBorder="1" applyFont="1" applyFill="1">
      <alignment horizontal="center" vertical="center" wrapText="1"/>
    </xf>
    <xf numFmtId="0" fontId="16" fillId="3" borderId="15" xfId="0" applyAlignment="1" applyBorder="1" applyFont="1" applyFill="1">
      <alignment horizontal="center" vertical="center"/>
    </xf>
    <xf numFmtId="0" fontId="16" fillId="3" borderId="11" xfId="0" applyAlignment="1" applyBorder="1" applyFont="1" applyFill="1">
      <alignment horizontal="center" vertical="center"/>
    </xf>
    <xf numFmtId="0" fontId="16" fillId="3" borderId="24" xfId="0" applyAlignment="1" applyBorder="1" applyFont="1" applyFill="1">
      <alignment horizontal="center" vertical="center" wrapText="1"/>
    </xf>
    <xf numFmtId="0" fontId="16" fillId="3" borderId="22" xfId="0" applyAlignment="1" applyBorder="1" applyFont="1" applyFill="1">
      <alignment horizontal="center" vertical="center" wrapText="1"/>
    </xf>
    <xf numFmtId="0" fontId="16" fillId="3" borderId="12" xfId="0" applyAlignment="1" applyBorder="1" applyFont="1" applyFill="1">
      <alignment horizontal="center" vertical="center" wrapText="1"/>
    </xf>
    <xf numFmtId="0" fontId="16" fillId="3" borderId="13" xfId="0" applyAlignment="1" applyBorder="1" applyFont="1" applyFill="1">
      <alignment horizontal="center" vertical="center" wrapText="1"/>
    </xf>
    <xf numFmtId="0" fontId="17" fillId="12" borderId="45" xfId="0" applyAlignment="1" applyBorder="1" applyFont="1" applyFill="1">
      <alignment horizontal="center" vertical="center" wrapText="1"/>
    </xf>
    <xf numFmtId="0" fontId="17" fillId="12" borderId="46" xfId="0" applyAlignment="1" applyBorder="1" applyFont="1" applyFill="1">
      <alignment horizontal="center" vertical="center" wrapText="1"/>
    </xf>
    <xf numFmtId="0" fontId="17" fillId="12" borderId="47" xfId="0" applyAlignment="1" applyBorder="1" applyFont="1" applyFill="1">
      <alignment horizontal="center" vertical="center" wrapText="1"/>
    </xf>
    <xf numFmtId="0" fontId="17" fillId="13" borderId="45" xfId="0" applyAlignment="1" applyBorder="1" applyFont="1" applyFill="1">
      <alignment horizontal="center" vertical="center" wrapText="1"/>
    </xf>
    <xf numFmtId="0" fontId="17" fillId="13" borderId="46" xfId="0" applyAlignment="1" applyBorder="1" applyFont="1" applyFill="1">
      <alignment horizontal="center" vertical="center" wrapText="1"/>
    </xf>
    <xf numFmtId="0" fontId="17" fillId="13" borderId="47" xfId="0" applyAlignment="1" applyBorder="1" applyFont="1" applyFill="1">
      <alignment horizontal="center" vertical="center" wrapText="1"/>
    </xf>
    <xf numFmtId="0" fontId="16" fillId="2" borderId="23" xfId="0" applyAlignment="1" applyBorder="1" applyFont="1" applyFill="1">
      <alignment horizontal="center" vertical="center" wrapText="1"/>
    </xf>
    <xf numFmtId="0" fontId="16" fillId="2" borderId="13" xfId="0" applyAlignment="1" applyBorder="1" applyFont="1" applyFill="1">
      <alignment horizontal="center" vertical="center" wrapText="1"/>
    </xf>
    <xf numFmtId="0" fontId="16" fillId="2" borderId="12" xfId="0" applyAlignment="1" applyBorder="1" applyFont="1" applyFill="1">
      <alignment horizontal="center" vertical="center" wrapText="1"/>
    </xf>
    <xf numFmtId="0" fontId="16" fillId="2" borderId="14" xfId="0" applyAlignment="1" applyBorder="1" applyFont="1" applyFill="1">
      <alignment horizontal="center" vertical="center" wrapText="1"/>
    </xf>
    <xf numFmtId="0" fontId="16" fillId="2" borderId="17" xfId="0" applyAlignment="1" applyBorder="1" applyFont="1" applyFill="1">
      <alignment horizontal="center" vertical="center" wrapText="1"/>
    </xf>
    <xf numFmtId="0" fontId="17" fillId="12" borderId="37" xfId="0" applyAlignment="1" applyBorder="1" applyFont="1" applyFill="1">
      <alignment horizontal="center" vertical="center" wrapText="1"/>
    </xf>
    <xf numFmtId="0" fontId="17" fillId="12" borderId="5" xfId="0" applyAlignment="1" applyBorder="1" applyFont="1" applyFill="1">
      <alignment horizontal="center" vertical="center" wrapText="1"/>
    </xf>
    <xf numFmtId="0" fontId="17" fillId="12" borderId="38" xfId="0" applyAlignment="1" applyBorder="1" applyFont="1" applyFill="1">
      <alignment horizontal="center" vertical="center" wrapText="1"/>
    </xf>
    <xf numFmtId="0" fontId="16" fillId="0" borderId="17" xfId="0" applyAlignment="1" applyBorder="1" applyFont="1">
      <alignment horizontal="center" vertical="center" wrapText="1"/>
    </xf>
    <xf numFmtId="1" fontId="16" fillId="0" borderId="48" xfId="0" applyAlignment="1" applyBorder="1" applyFont="1" applyNumberFormat="1">
      <alignment horizontal="left" vertical="center" wrapText="1"/>
    </xf>
    <xf numFmtId="1" fontId="16" fillId="0" borderId="19" xfId="0" applyAlignment="1" applyBorder="1" applyFont="1" applyNumberFormat="1">
      <alignment horizontal="left" vertical="center" wrapText="1"/>
    </xf>
    <xf numFmtId="0" fontId="16" fillId="7" borderId="14" xfId="0" applyAlignment="1" applyBorder="1" applyFont="1" applyFill="1">
      <alignment horizontal="center" vertical="center" wrapText="1"/>
    </xf>
    <xf numFmtId="0" fontId="16" fillId="7" borderId="17" xfId="0" applyAlignment="1" applyBorder="1" applyFont="1" applyFill="1">
      <alignment horizontal="center" vertical="center" wrapText="1"/>
    </xf>
    <xf numFmtId="0" fontId="13" fillId="3" borderId="17" xfId="0" applyAlignment="1" applyBorder="1" applyFont="1" applyFill="1">
      <alignment horizontal="center" vertical="center" wrapText="1"/>
    </xf>
    <xf numFmtId="0" fontId="16" fillId="3" borderId="23" xfId="0" applyAlignment="1" applyBorder="1" applyFont="1" applyFill="1">
      <alignment horizontal="center" vertical="center" wrapText="1"/>
    </xf>
    <xf numFmtId="0" fontId="16" fillId="3" borderId="14" xfId="0" applyAlignment="1" applyBorder="1" applyFont="1" applyFill="1">
      <alignment horizontal="center" vertical="center" wrapText="1"/>
    </xf>
    <xf numFmtId="0" fontId="16" fillId="3" borderId="17" xfId="0" applyAlignment="1" applyBorder="1" applyFont="1" applyFill="1">
      <alignment horizontal="center" vertical="center" wrapText="1"/>
    </xf>
    <xf numFmtId="0" fontId="19" fillId="3" borderId="0" xfId="0" applyAlignment="1" applyFont="1" applyFill="1">
      <alignment horizontal="center" vertical="center" wrapText="1"/>
    </xf>
    <xf numFmtId="0" fontId="16" fillId="3" borderId="20" xfId="0" applyAlignment="1" applyBorder="1" applyFont="1" applyFill="1">
      <alignment horizontal="center" vertical="center" wrapText="1"/>
    </xf>
    <xf numFmtId="0" fontId="16" fillId="3" borderId="49" xfId="0" applyAlignment="1" applyBorder="1" applyFont="1" applyFill="1">
      <alignment horizontal="center" vertical="center" wrapText="1"/>
    </xf>
    <xf numFmtId="0" fontId="16" fillId="3" borderId="50" xfId="0" applyAlignment="1" applyBorder="1" applyFont="1" applyFill="1">
      <alignment horizontal="center" vertical="center" wrapText="1"/>
    </xf>
    <xf numFmtId="165" fontId="16" fillId="3" borderId="15" xfId="0" applyAlignment="1" applyBorder="1" applyFont="1" applyNumberFormat="1" applyFill="1">
      <alignment horizontal="right" vertical="center" wrapText="1"/>
    </xf>
    <xf numFmtId="165" fontId="16" fillId="3" borderId="35" xfId="0" applyAlignment="1" applyBorder="1" applyFont="1" applyNumberFormat="1" applyFill="1">
      <alignment horizontal="right" vertical="center" wrapText="1"/>
    </xf>
    <xf numFmtId="0" fontId="16" fillId="3" borderId="21" xfId="0" applyAlignment="1" applyBorder="1" applyFont="1" applyFill="1">
      <alignment horizontal="left" vertical="center" wrapText="1"/>
    </xf>
    <xf numFmtId="0" fontId="16" fillId="3" borderId="33" xfId="0" applyAlignment="1" applyBorder="1" applyFont="1" applyFill="1">
      <alignment horizontal="center" vertical="center" wrapText="1"/>
    </xf>
    <xf numFmtId="0" fontId="16" fillId="3" borderId="51" xfId="0" applyAlignment="1" applyBorder="1" applyFont="1" applyFill="1">
      <alignment horizontal="center" vertical="center" wrapText="1"/>
    </xf>
    <xf numFmtId="0" fontId="16" fillId="3" borderId="43" xfId="0" applyAlignment="1" applyBorder="1" applyFont="1" applyFill="1">
      <alignment horizontal="center" vertical="center" wrapText="1"/>
    </xf>
    <xf numFmtId="1" fontId="16" fillId="3" borderId="43" xfId="0" applyAlignment="1" applyBorder="1" applyFont="1" applyNumberFormat="1" applyFill="1">
      <alignment horizontal="right" vertical="center" wrapText="1"/>
    </xf>
    <xf numFmtId="0" fontId="16" fillId="3" borderId="51" xfId="0" applyAlignment="1" applyBorder="1" applyFont="1" applyFill="1">
      <alignment horizontal="left" vertical="center" wrapText="1"/>
    </xf>
    <xf numFmtId="0" fontId="16" fillId="3" borderId="34" xfId="0" applyAlignment="1" applyBorder="1" applyFont="1" applyFill="1">
      <alignment horizontal="center" vertical="center" wrapText="1"/>
    </xf>
    <xf numFmtId="0" fontId="16" fillId="3" borderId="8" xfId="0" applyAlignment="1" applyBorder="1" applyFont="1" applyFill="1">
      <alignment horizontal="center" vertical="center" wrapText="1"/>
    </xf>
    <xf numFmtId="1" fontId="16" fillId="3" borderId="35" xfId="0" applyAlignment="1" applyBorder="1" applyFont="1" applyNumberFormat="1" applyFill="1">
      <alignment horizontal="right" vertical="center" wrapText="1"/>
    </xf>
    <xf numFmtId="0" fontId="16" fillId="3" borderId="35" xfId="0" applyAlignment="1" applyBorder="1" applyFont="1" applyFill="1">
      <alignment horizontal="center" vertical="center"/>
    </xf>
    <xf numFmtId="0" fontId="16" fillId="3" borderId="21" xfId="0" applyAlignment="1" applyBorder="1" applyFont="1" applyFill="1">
      <alignment horizontal="center" vertical="center"/>
    </xf>
    <xf numFmtId="0" fontId="16" fillId="3" borderId="43" xfId="0" applyAlignment="1" applyBorder="1" applyFont="1" applyFill="1">
      <alignment horizontal="center" vertical="center"/>
    </xf>
    <xf numFmtId="0" fontId="16" fillId="3" borderId="51" xfId="0" applyAlignment="1" applyBorder="1" applyFont="1" applyFill="1">
      <alignment horizontal="center" vertical="center"/>
    </xf>
    <xf numFmtId="0" fontId="16" fillId="3" borderId="18" xfId="0" applyAlignment="1" applyBorder="1" applyFont="1" applyFill="1">
      <alignment horizontal="center" vertical="center" wrapText="1"/>
    </xf>
    <xf numFmtId="0" fontId="16" fillId="3" borderId="48" xfId="0" applyAlignment="1" applyBorder="1" applyFont="1" applyFill="1">
      <alignment horizontal="center" vertical="center" wrapText="1"/>
    </xf>
    <xf numFmtId="0" fontId="16" fillId="3" borderId="52" xfId="0" applyAlignment="1" applyBorder="1" applyFont="1" applyFill="1">
      <alignment horizontal="center" vertical="center" wrapText="1"/>
    </xf>
    <xf numFmtId="0" fontId="16" fillId="3" borderId="12" xfId="0" applyAlignment="1" applyBorder="1" applyFont="1" applyFill="1">
      <alignment horizontal="center" vertical="center"/>
    </xf>
    <xf numFmtId="0" fontId="16" fillId="3" borderId="13" xfId="0" applyAlignment="1" applyBorder="1" applyFont="1" applyFill="1">
      <alignment horizontal="center" vertical="center"/>
    </xf>
    <xf numFmtId="0" fontId="16" fillId="0" borderId="13" xfId="0" applyAlignment="1" applyBorder="1" applyFont="1">
      <alignment horizontal="center" vertical="center" wrapText="1"/>
    </xf>
    <xf numFmtId="0" fontId="16" fillId="0" borderId="6" xfId="0" applyAlignment="1" applyBorder="1" applyFont="1">
      <alignment horizontal="left" vertical="center" wrapText="1"/>
    </xf>
    <xf numFmtId="0" fontId="16" fillId="0" borderId="39" xfId="0" applyAlignment="1" applyBorder="1" applyFont="1">
      <alignment horizontal="left" vertical="center" wrapText="1"/>
    </xf>
    <xf numFmtId="0" fontId="20" fillId="13" borderId="37" xfId="0" applyAlignment="1" applyBorder="1" applyFont="1" applyFill="1">
      <alignment horizontal="center" wrapText="1"/>
    </xf>
    <xf numFmtId="0" fontId="20" fillId="13" borderId="5" xfId="0" applyAlignment="1" applyBorder="1" applyFont="1" applyFill="1">
      <alignment horizontal="center" wrapText="1"/>
    </xf>
    <xf numFmtId="0" fontId="20" fillId="13" borderId="38" xfId="0" applyAlignment="1" applyBorder="1" applyFont="1" applyFill="1">
      <alignment horizontal="center" wrapText="1"/>
    </xf>
    <xf numFmtId="0" fontId="13" fillId="2" borderId="10" xfId="0" applyAlignment="1" applyBorder="1" applyFont="1" applyFill="1">
      <alignment horizontal="center" wrapText="1"/>
    </xf>
    <xf numFmtId="0" fontId="13" fillId="2" borderId="6" xfId="0" applyAlignment="1" applyBorder="1" applyFont="1" applyFill="1">
      <alignment horizontal="center" vertical="center" wrapText="1"/>
    </xf>
    <xf numFmtId="0" fontId="13" fillId="2" borderId="39" xfId="0" applyAlignment="1" applyBorder="1" applyFont="1" applyFill="1">
      <alignment horizontal="center" vertical="center" wrapText="1"/>
    </xf>
    <xf numFmtId="165" fontId="16" fillId="3" borderId="43" xfId="0" applyAlignment="1" applyBorder="1" applyFont="1" applyNumberFormat="1" applyFill="1">
      <alignment horizontal="right" vertical="center" wrapText="1"/>
    </xf>
    <xf numFmtId="0" fontId="13" fillId="0" borderId="40" xfId="0" applyAlignment="1" applyBorder="1" applyFont="1">
      <alignment horizontal="center" wrapText="1"/>
    </xf>
    <xf numFmtId="0" fontId="13" fillId="0" borderId="41" xfId="0" applyAlignment="1" applyBorder="1" applyFont="1">
      <alignment horizontal="center" wrapText="1"/>
    </xf>
    <xf numFmtId="0" fontId="13" fillId="0" borderId="42" xfId="0" applyAlignment="1" applyBorder="1" applyFont="1">
      <alignment horizontal="center" wrapText="1"/>
    </xf>
    <xf numFmtId="0" fontId="13" fillId="0" borderId="10" xfId="0" applyAlignment="1" applyBorder="1" applyFont="1">
      <alignment horizontal="center" wrapText="1"/>
    </xf>
    <xf numFmtId="0" fontId="13" fillId="0" borderId="6" xfId="0" applyAlignment="1" applyBorder="1" applyFont="1">
      <alignment horizontal="center" wrapText="1"/>
    </xf>
    <xf numFmtId="0" fontId="20" fillId="0" borderId="6" xfId="0" applyAlignment="1" applyBorder="1" applyFont="1">
      <alignment horizontal="right" wrapText="1"/>
    </xf>
    <xf numFmtId="0" fontId="13" fillId="0" borderId="13" xfId="0" applyAlignment="1" applyBorder="1" applyFont="1">
      <alignment horizontal="center" wrapText="1"/>
    </xf>
    <xf numFmtId="0" fontId="13" fillId="0" borderId="22" xfId="0" applyAlignment="1" applyBorder="1" applyFont="1">
      <alignment horizontal="center" vertical="center" wrapText="1"/>
    </xf>
    <xf numFmtId="0" fontId="13" fillId="0" borderId="49" xfId="0" applyAlignment="1" applyBorder="1" applyFont="1">
      <alignment horizontal="center" vertical="center" wrapText="1"/>
    </xf>
    <xf numFmtId="0" fontId="13" fillId="0" borderId="39" xfId="0" applyAlignment="1" applyBorder="1" applyFont="1">
      <alignment horizontal="center" vertical="center" wrapText="1"/>
    </xf>
    <xf numFmtId="0" fontId="13" fillId="0" borderId="12" xfId="0" applyAlignment="1" applyBorder="1" applyFont="1">
      <alignment horizontal="right" vertical="center" wrapText="1"/>
    </xf>
    <xf numFmtId="0" fontId="13" fillId="0" borderId="13" xfId="0" applyAlignment="1" applyBorder="1" applyFont="1">
      <alignment horizontal="left" vertical="center" wrapText="1"/>
    </xf>
    <xf numFmtId="0" fontId="13" fillId="0" borderId="10" xfId="0" applyAlignment="1" applyBorder="1" applyFont="1">
      <alignment horizontal="center" vertical="center" wrapText="1"/>
    </xf>
    <xf numFmtId="0" fontId="13" fillId="0" borderId="17" xfId="0" applyAlignment="1" applyBorder="1" applyFont="1">
      <alignment horizontal="left" vertical="center" wrapText="1"/>
    </xf>
    <xf numFmtId="0" fontId="13" fillId="0" borderId="44" xfId="0" applyAlignment="1" applyBorder="1" applyFont="1">
      <alignment horizontal="center" vertical="center" wrapText="1"/>
    </xf>
    <xf numFmtId="0" fontId="13" fillId="0" borderId="1" xfId="0" applyAlignment="1" applyBorder="1" applyFont="1">
      <alignment horizontal="center" vertical="center" wrapText="1"/>
    </xf>
    <xf numFmtId="0" fontId="13" fillId="0" borderId="0" xfId="0" applyAlignment="1" applyFont="1">
      <alignment horizontal="center" vertical="center" wrapText="1"/>
    </xf>
    <xf numFmtId="0" fontId="13" fillId="0" borderId="2" xfId="0" applyAlignment="1" applyBorder="1" applyFont="1">
      <alignment horizontal="center" vertical="center" wrapText="1"/>
    </xf>
    <xf numFmtId="0" fontId="13" fillId="0" borderId="33" xfId="0" applyAlignment="1" applyBorder="1" applyFont="1">
      <alignment horizontal="center" vertical="center" wrapText="1"/>
    </xf>
    <xf numFmtId="0" fontId="13" fillId="0" borderId="34" xfId="0" applyAlignment="1" applyBorder="1" applyFont="1">
      <alignment horizontal="center" vertical="center" wrapText="1"/>
    </xf>
    <xf numFmtId="0" fontId="13" fillId="0" borderId="8" xfId="0" applyAlignment="1" applyBorder="1" applyFont="1">
      <alignment horizontal="center" vertical="center" wrapText="1"/>
    </xf>
    <xf numFmtId="0" fontId="13" fillId="0" borderId="39" xfId="0" applyAlignment="1" applyBorder="1" applyFont="1">
      <alignment horizontal="center" wrapText="1"/>
    </xf>
  </cellXfs>
  <cellStyles count="2">
    <cellStyle name="Hyperlink" xfId="1" builtinId="8"/>
    <cellStyle name="Normal" xfId="0" builtinId="0"/>
  </cellStyles>
  <dxfs>
    <dxf>
      <font>
        <color auto="1"/>
      </font>
      <fill>
        <patternFill>
          <bgColor rgb="FFFF0000"/>
        </patternFill>
      </fill>
    </dxf>
    <dxf>
      <fill>
        <patternFill>
          <bgColor rgb="FF92D050"/>
        </patternFill>
      </fill>
    </dxf>
    <dxf>
      <font>
        <color rgb="FFFFFF00"/>
      </font>
    </dxf>
    <dxf>
      <font>
        <color rgb="FFFFFF00"/>
      </font>
      <fill>
        <patternFill>
          <bgColor rgb="FFFFFF00"/>
        </patternFill>
      </fill>
    </dxf>
    <dxf>
      <fill>
        <patternFill>
          <bgColor rgb="FFFF0000"/>
        </patternFill>
      </fill>
    </dxf>
    <dxf>
      <font>
        <color theme="0"/>
      </font>
      <fill>
        <patternFill>
          <bgColor theme="0"/>
        </patternFill>
      </fill>
    </dxf>
    <dxf>
      <font>
        <color theme="0"/>
      </font>
      <fill>
        <patternFill>
          <bgColor theme="0"/>
        </patternFill>
      </fill>
    </dxf>
    <dxf>
      <font>
        <color theme="7" tint="0.59996337778862885"/>
      </font>
      <fill>
        <patternFill>
          <bgColor theme="7" tint="0.59996337778862885"/>
        </patternFill>
      </fill>
    </dxf>
    <dxf>
      <font>
        <color rgb="FFFF0000"/>
      </font>
      <fill>
        <patternFill>
          <bgColor rgb="FFFF0000"/>
        </patternFill>
      </fill>
    </dxf>
    <dxf>
      <font>
        <color rgb="FF92D050"/>
      </font>
      <fill>
        <patternFill>
          <bgColor rgb="FF92D050"/>
        </patternFill>
      </fill>
    </dxf>
    <dxf>
      <font>
        <color rgb="FF92D050"/>
      </font>
      <fill>
        <patternFill>
          <bgColor rgb="FF92D050"/>
        </patternFill>
      </fill>
    </dxf>
    <dxf>
      <font>
        <color rgb="FFFF0000"/>
      </font>
      <fill>
        <patternFill>
          <bgColor rgb="FFFF0000"/>
        </patternFill>
      </fill>
    </dxf>
    <dxf>
      <font>
        <color theme="7" tint="0.59996337778862885"/>
      </font>
      <fill>
        <patternFill>
          <bgColor theme="7" tint="0.59996337778862885"/>
        </patternFill>
      </fill>
    </dxf>
    <dxf>
      <font>
        <color theme="0"/>
      </font>
      <fill>
        <patternFill>
          <bgColor theme="0"/>
        </patternFill>
      </fill>
    </dxf>
    <dxf>
      <font>
        <color theme="0"/>
      </font>
      <fill>
        <patternFill>
          <bgColor theme="0"/>
        </patternFill>
      </fill>
    </dxf>
    <dxf>
      <fill>
        <patternFill>
          <bgColor rgb="FFFF0000"/>
        </patternFill>
      </fill>
    </dxf>
    <dxf>
      <font>
        <color rgb="FFFFFF00"/>
      </font>
      <fill>
        <patternFill>
          <bgColor rgb="FFFFFF00"/>
        </patternFill>
      </fill>
    </dxf>
    <dxf>
      <font>
        <color rgb="FFFFFF00"/>
      </font>
    </dxf>
    <dxf>
      <fill>
        <patternFill>
          <bgColor rgb="FF92D050"/>
        </patternFill>
      </fill>
    </dxf>
    <dxf>
      <font>
        <color indexed="64"/>
      </font>
      <fill>
        <patternFill>
          <bgColor rgb="FFFF0000"/>
        </patternFill>
      </fill>
    </dxf>
  </dxfs>
  <tableStyles count="1" defaultTableStyle="TableStyleMedium2" defaultPivotStyle="PivotStyleLight16">
    <tableStyle name="Table Style 1" pivot="0" count="0"/>
  </tableStyles>
</styleSheet>
</file>

<file path=xl/_rels/workbook.xml.rels><?xml version="1.0" encoding="utf-8" standalone="yes"?><Relationships xmlns="http://schemas.openxmlformats.org/package/2006/relationships"><Relationship Id="rId8" Type="http://schemas.openxmlformats.org/officeDocument/2006/relationships/customXml" Target="../customXml/item1.xml" /><Relationship Id="rId9" Type="http://schemas.openxmlformats.org/officeDocument/2006/relationships/customXml" Target="../customXml/item2.xml" /><Relationship Id="rId7" Type="http://schemas.openxmlformats.org/officeDocument/2006/relationships/sheetMetadata" Target="metadata.xml" /><Relationship Id="rId10" Type="http://schemas.openxmlformats.org/officeDocument/2006/relationships/customXml" Target="../customXml/item3.xml" /><Relationship Id="rId6" Type="http://schemas.openxmlformats.org/officeDocument/2006/relationships/sharedStrings" Target="sharedStrings.xml" /><Relationship Id="rId3" Type="http://schemas.openxmlformats.org/officeDocument/2006/relationships/worksheet" Target="worksheets/sheet3.xml" /><Relationship Id="rId5" Type="http://schemas.openxmlformats.org/officeDocument/2006/relationships/styles" Target="styles.xml" /><Relationship Id="rId2" Type="http://schemas.openxmlformats.org/officeDocument/2006/relationships/worksheet" Target="worksheets/sheet2.xml" /><Relationship Id="rId4" Type="http://schemas.openxmlformats.org/officeDocument/2006/relationships/theme" Target="theme/theme1.xml" /><Relationship Id="rId1" Type="http://schemas.openxmlformats.org/officeDocument/2006/relationships/worksheet" Target="worksheets/sheet1.xml" /></Relationships>
</file>

<file path=xl/drawings/_rels/vmlDrawing1.vml.rels><?xml version="1.0" encoding="utf-8" standalone="yes"?><Relationships xmlns="http://schemas.openxmlformats.org/package/2006/relationships"><Relationship Id="rId1" Type="http://schemas.openxmlformats.org/officeDocument/2006/relationships/image" Target="/xl/media/image1.png" /></Relationships>
</file>

<file path=xl/drawings/_rels/vmlDrawing2.vml.rels><?xml version="1.0" encoding="utf-8" standalone="yes"?><Relationships xmlns="http://schemas.openxmlformats.org/package/2006/relationships"><Relationship Id="rId1" Type="http://schemas.openxmlformats.org/officeDocument/2006/relationships/image" Target="/xl/media/image1.png" /></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vmlDrawing" Target="/xl/drawings/vmlDrawing1.vml" /><Relationship Id="rId2" Type="http://schemas.openxmlformats.org/officeDocument/2006/relationships/printerSettings" Target="../printerSettings/printerSettings2.bin" /><Relationship Id="rId1" Type="http://schemas.openxmlformats.org/officeDocument/2006/relationships/printerSettings" Target="../printerSettings/printerSettings1.bin" /></Relationships>
</file>

<file path=xl/worksheets/_rels/sheet3.xml.rels><?xml version="1.0" encoding="utf-8" standalone="yes"?><Relationships xmlns="http://schemas.openxmlformats.org/package/2006/relationships"><Relationship Id="rId3" Type="http://schemas.openxmlformats.org/officeDocument/2006/relationships/vmlDrawing" Target="/xl/drawings/vmlDrawing2.vml" /><Relationship Id="rId2" Type="http://schemas.openxmlformats.org/officeDocument/2006/relationships/printerSettings" Target="../printerSettings/printerSettings4.bin" /><Relationship Id="rId1" Type="http://schemas.openxmlformats.org/officeDocument/2006/relationships/printerSettings" Target="../printerSettings/printerSettings3.bin"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Q28"/>
  <sheetViews>
    <sheetView showGridLines="0" showRowColHeaders="0" view="normal" tabSelected="1" workbookViewId="0">
      <selection pane="topLeft" activeCell="A1" sqref="A1"/>
    </sheetView>
  </sheetViews>
  <sheetFormatPr defaultColWidth="9.1796875" defaultRowHeight="10"/>
  <cols>
    <col min="1" max="1" width="15.84765625" style="1" customWidth="1"/>
    <col min="2" max="2" width="17.84765625" style="1" customWidth="1"/>
    <col min="3" max="3" width="15.5703125" style="3" customWidth="1"/>
    <col min="4" max="4" width="12.5703125" style="1" customWidth="1"/>
    <col min="5" max="5" width="5" style="1" customWidth="1"/>
    <col min="6" max="6" width="14" style="1" customWidth="1"/>
    <col min="7" max="7" width="12.140625" style="1" customWidth="1"/>
    <col min="8" max="8" width="21.84765625" style="1" customWidth="1"/>
    <col min="9" max="9" width="1.13671875" style="1" customWidth="1"/>
    <col min="10" max="10" width="11.84765625" style="1" customWidth="1"/>
    <col min="11" max="11" width="4.27734375" style="1" customWidth="1"/>
    <col min="12" max="12" width="3.84765625" style="1" customWidth="1"/>
    <col min="13" max="13" width="8.140625" style="1" customWidth="1"/>
    <col min="14" max="14" width="4.84765625" style="1" customWidth="1"/>
    <col min="15" max="15" width="4.5703125" style="1" customWidth="1"/>
    <col min="16" max="16" width="20" style="1" customWidth="1"/>
    <col min="17" max="17" width="0.28125" style="1" customWidth="1"/>
    <col min="18" max="16384" width="9.140625" style="1" customWidth="1"/>
  </cols>
  <sheetData>
    <row r="1" ht="16.5" customHeight="1" thickBot="1"/>
    <row r="2" spans="2:7" ht="21.75" customHeight="1" hidden="1">
      <c r="B2" s="90"/>
      <c r="C2" s="91"/>
      <c r="D2" s="91"/>
      <c r="E2" s="91"/>
      <c r="F2" s="91"/>
      <c r="G2" s="92"/>
    </row>
    <row r="3" spans="2:7" ht="27.75" customHeight="1">
      <c r="B3" s="11" t="s">
        <v>0</v>
      </c>
      <c r="C3" s="12"/>
      <c r="D3" s="93"/>
      <c r="E3" s="91"/>
      <c r="F3" s="91"/>
      <c r="G3" s="92"/>
    </row>
    <row r="4" spans="2:7" ht="4.5" customHeight="1" hidden="1" thickBot="1">
      <c r="B4" s="99"/>
      <c r="C4" s="95"/>
      <c r="D4" s="95"/>
      <c r="E4" s="9"/>
      <c r="F4" s="10"/>
      <c r="G4" s="9"/>
    </row>
    <row r="5" spans="2:7" ht="16.5" customHeight="1">
      <c r="B5" s="5" t="s">
        <v>1</v>
      </c>
      <c r="C5" s="23"/>
      <c r="D5" s="94"/>
      <c r="E5" s="95"/>
      <c r="F5" s="95"/>
      <c r="G5" s="9"/>
    </row>
    <row r="6" spans="2:7" ht="14.25" customHeight="1" hidden="1">
      <c r="B6" s="99"/>
      <c r="C6" s="95"/>
      <c r="D6" s="95"/>
      <c r="E6" s="95"/>
      <c r="F6" s="95"/>
      <c r="G6" s="9"/>
    </row>
    <row r="7" spans="2:7" ht="25.5" customHeight="1">
      <c r="B7" s="5" t="s">
        <v>2</v>
      </c>
      <c r="C7" s="22"/>
      <c r="D7" s="96" t="s">
        <v>161</v>
      </c>
      <c r="E7" s="97"/>
      <c r="F7" s="97"/>
      <c r="G7" s="98"/>
    </row>
    <row r="8" spans="2:7" ht="13.5" customHeight="1" hidden="1">
      <c r="B8" s="99"/>
      <c r="C8" s="95"/>
      <c r="D8" s="95"/>
      <c r="E8" s="95"/>
      <c r="F8" s="95"/>
      <c r="G8" s="9"/>
    </row>
    <row r="9" spans="2:7" ht="33.75" customHeight="1">
      <c r="B9" s="5" t="s">
        <v>3</v>
      </c>
      <c r="C9" s="13"/>
      <c r="D9" s="96" t="s">
        <v>52</v>
      </c>
      <c r="E9" s="97"/>
      <c r="F9" s="97"/>
      <c r="G9" s="98"/>
    </row>
    <row r="10" spans="2:7" ht="7.5" customHeight="1" hidden="1" thickBot="1">
      <c r="B10" s="99"/>
      <c r="C10" s="111"/>
      <c r="D10" s="95"/>
      <c r="E10" s="95"/>
      <c r="F10" s="95"/>
      <c r="G10" s="9"/>
    </row>
    <row r="11" spans="2:7" ht="36" customHeight="1">
      <c r="B11" s="16" t="s">
        <v>4</v>
      </c>
      <c r="C11" s="14"/>
      <c r="D11" s="115" t="s">
        <v>52</v>
      </c>
      <c r="E11" s="116"/>
      <c r="F11" s="116"/>
      <c r="G11" s="117"/>
    </row>
    <row r="12" spans="2:7" ht="10.5" thickBot="1">
      <c r="B12" s="112"/>
      <c r="C12" s="113"/>
      <c r="D12" s="113"/>
      <c r="E12" s="113"/>
      <c r="F12" s="113"/>
      <c r="G12" s="114"/>
    </row>
    <row r="13" spans="2:7" ht="10.5" thickBot="1">
      <c r="B13" s="105" t="b">
        <f>(C9)=(C11)</f>
        <v>1</v>
      </c>
      <c r="C13" s="106"/>
      <c r="D13" s="106"/>
      <c r="E13" s="106"/>
      <c r="F13" s="106"/>
      <c r="G13" s="107"/>
    </row>
    <row r="14" spans="2:7" ht="14.5" thickBot="1">
      <c r="B14" s="103" t="str">
        <f t="array" aca="true" ref="B14">_xlfn.IFS(F15="11",F19,B13=TRUE,G18,B13=FALSE,F18)</f>
        <v>PLEASE FILL IN WEIGHT &amp; CHECK WEIGHT</v>
      </c>
      <c r="C14" s="104"/>
      <c r="D14" s="104"/>
      <c r="E14" s="104"/>
      <c r="F14" s="104"/>
      <c r="G14" s="15" t="s">
        <v>9</v>
      </c>
    </row>
    <row r="15" spans="2:7" ht="0.75" customHeight="1">
      <c r="B15" s="18"/>
      <c r="C15" s="19"/>
      <c r="D15" s="6">
        <f>COUNTBLANK(C11)</f>
        <v>1</v>
      </c>
      <c r="E15" s="6">
        <f>COUNTBLANK(C9)</f>
        <v>1</v>
      </c>
      <c r="F15" s="17" t="str">
        <f>_xlfn.CONCAT(D15:E15)</f>
        <v>11</v>
      </c>
      <c r="G15" s="20"/>
    </row>
    <row r="16" spans="2:7" ht="15" thickBot="1">
      <c r="B16" s="108" t="s">
        <v>5</v>
      </c>
      <c r="C16" s="109"/>
      <c r="D16" s="109"/>
      <c r="E16" s="109"/>
      <c r="F16" s="109"/>
      <c r="G16" s="110"/>
    </row>
    <row r="17" spans="2:7" ht="9" customHeight="1" hidden="1">
      <c r="B17" s="2"/>
      <c r="C17" s="21"/>
      <c r="D17" s="7"/>
      <c r="E17" s="7"/>
      <c r="F17" s="8"/>
      <c r="G17" s="8"/>
    </row>
    <row r="18" spans="2:7" ht="293.25" customHeight="1" hidden="1">
      <c r="B18" s="2"/>
      <c r="C18" s="21"/>
      <c r="D18" s="7"/>
      <c r="E18" s="6"/>
      <c r="F18" s="6" t="s">
        <v>6</v>
      </c>
      <c r="G18" s="6" t="s">
        <v>7</v>
      </c>
    </row>
    <row r="19" spans="2:7" ht="30" hidden="1">
      <c r="B19" s="2"/>
      <c r="C19" s="21"/>
      <c r="D19" s="7"/>
      <c r="E19" s="6"/>
      <c r="F19" s="6" t="s">
        <v>8</v>
      </c>
      <c r="G19" s="6"/>
    </row>
    <row r="20" spans="2:7" hidden="1">
      <c r="B20" s="2"/>
      <c r="C20" s="21"/>
      <c r="D20" s="7"/>
      <c r="E20" s="7"/>
      <c r="F20" s="7"/>
      <c r="G20" s="7"/>
    </row>
    <row r="21" spans="2:7" ht="210.75" customHeight="1" thickBot="1">
      <c r="B21" s="100" t="s">
        <v>51</v>
      </c>
      <c r="C21" s="101"/>
      <c r="D21" s="101"/>
      <c r="E21" s="101"/>
      <c r="F21" s="101"/>
      <c r="G21" s="102"/>
    </row>
    <row r="22" spans="4:7">
      <c r="D22" s="7"/>
      <c r="E22" s="7"/>
      <c r="F22" s="7"/>
      <c r="G22" s="7"/>
    </row>
    <row r="23" spans="4:7">
      <c r="D23" s="7"/>
      <c r="E23" s="7"/>
      <c r="F23" s="7"/>
      <c r="G23" s="7"/>
    </row>
    <row r="24" spans="4:7">
      <c r="D24" s="7"/>
      <c r="E24" s="7"/>
      <c r="F24" s="7"/>
      <c r="G24" s="7"/>
    </row>
    <row r="25" spans="4:7">
      <c r="D25" s="7"/>
      <c r="E25" s="7"/>
      <c r="F25" s="7"/>
      <c r="G25" s="7"/>
    </row>
    <row r="26" spans="4:7">
      <c r="D26" s="7"/>
      <c r="E26" s="7"/>
      <c r="F26" s="7"/>
      <c r="G26" s="7"/>
    </row>
    <row r="27" spans="6:7">
      <c r="F27" s="7"/>
      <c r="G27" s="7"/>
    </row>
    <row r="28" spans="6:7">
      <c r="F28" s="7"/>
      <c r="G28" s="7"/>
    </row>
  </sheetData>
  <sheetProtection algorithmName="SHA-512" hashValue="jqXGwLYKswlKk15P8ASPuZ9pjhnbs+No/AP2m5qBUyk2mJmVvIiRxsTt/1TvodpvQ1P1qy8zG7WfgMEqvw/VPQ==" saltValue="OFnlszra+/lssJFIjByBSQ==" spinCount="100000" sheet="1" objects="1" scenarios="1" selectLockedCells="1"/>
  <mergeCells count="15">
    <mergeCell ref="B21:G21"/>
    <mergeCell ref="B14:F14"/>
    <mergeCell ref="B13:G13"/>
    <mergeCell ref="B16:G16"/>
    <mergeCell ref="B6:G6"/>
    <mergeCell ref="B8:G8"/>
    <mergeCell ref="B10:G10"/>
    <mergeCell ref="B12:G12"/>
    <mergeCell ref="D11:G11"/>
    <mergeCell ref="B2:G2"/>
    <mergeCell ref="D3:G3"/>
    <mergeCell ref="D5:G5"/>
    <mergeCell ref="D7:G7"/>
    <mergeCell ref="D9:G9"/>
    <mergeCell ref="B4:E4"/>
  </mergeCells>
  <conditionalFormatting sqref="B13">
    <cfRule type="containsText" dxfId="10" operator="containsText" text="True" priority="17">
      <formula>NOT(ISERROR(SEARCH("True",B13)))</formula>
    </cfRule>
    <cfRule type="containsText" dxfId="11" operator="containsText" text="False" priority="18">
      <formula>NOT(ISERROR(SEARCH("False",B13)))</formula>
    </cfRule>
  </conditionalFormatting>
  <conditionalFormatting sqref="B13:G13">
    <cfRule type="expression" dxfId="12" priority="2">
      <formula>$F$15="11"</formula>
    </cfRule>
  </conditionalFormatting>
  <conditionalFormatting sqref="B16:G16">
    <cfRule type="expression" dxfId="13" priority="4">
      <formula>$F$15="11"</formula>
    </cfRule>
    <cfRule type="expression" dxfId="14" priority="6">
      <formula>$B$13=FALSE</formula>
    </cfRule>
  </conditionalFormatting>
  <conditionalFormatting sqref="C9 C11">
    <cfRule type="uniqueValues" dxfId="15" priority="14"/>
  </conditionalFormatting>
  <conditionalFormatting sqref="G14">
    <cfRule type="expression" dxfId="16" priority="5">
      <formula>$B$13=FALSE</formula>
    </cfRule>
    <cfRule type="expression" dxfId="17" priority="10">
      <formula>$D$15=1</formula>
    </cfRule>
    <cfRule type="cellIs" dxfId="18" operator="equal" priority="15">
      <formula>"Yes"</formula>
    </cfRule>
    <cfRule type="cellIs" dxfId="19" operator="equal" priority="16">
      <formula>"no"</formula>
    </cfRule>
  </conditionalFormatting>
  <dataValidations count="3">
    <dataValidation type="decimal" allowBlank="1" showInputMessage="1" showErrorMessage="1" sqref="C11 C9">
      <formula1>0.2</formula1>
      <formula2>7</formula2>
    </dataValidation>
    <dataValidation type="whole" allowBlank="1" showInputMessage="1" showErrorMessage="1" sqref="C7">
      <formula1>21</formula1>
      <formula2>45</formula2>
    </dataValidation>
    <dataValidation type="list" allowBlank="1" showInputMessage="1" showErrorMessage="1" sqref="G14">
      <formula1>Sheet1!$A$1:$A$3</formula1>
    </dataValidation>
  </dataValidations>
  <hyperlinks>
    <hyperlink ref="B16:G16" location="'Wessex Drug Guide V3'!A1" display="'Click here to open Wessex Drug Guide"/>
  </hyperlinks>
  <pageMargins left="0" right="0" top="0" bottom="0" header="0" footer="0"/>
  <pageSetup paperSize="11" orientation="landscape"/>
  <headerFooter scaleWithDoc="1" alignWithMargins="1" differentFirst="0" differentOddEven="0">
    <oddHeader>&amp;L&amp;9&amp;G&amp;C&amp;F</oddHeader>
  </headerFooter>
  <legacyDrawingHF r:id="rId3"/>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3"/>
  <sheetViews>
    <sheetView view="normal" workbookViewId="0">
      <selection pane="topLeft" activeCell="A1" sqref="A1"/>
    </sheetView>
  </sheetViews>
  <sheetFormatPr defaultRowHeight="14.5"/>
  <cols>
    <col min="1" max="1" width="17.7109375" customWidth="1"/>
  </cols>
  <sheetData>
    <row r="1" spans="1:1">
      <c r="A1" t="s">
        <v>9</v>
      </c>
    </row>
    <row r="2" spans="1:1" ht="18.5">
      <c r="A2" s="4" t="s">
        <v>10</v>
      </c>
    </row>
    <row r="3" spans="1:1" ht="18.5">
      <c r="A3" s="4" t="s">
        <v>11</v>
      </c>
    </row>
  </sheetData>
  <pageMargins left="0.7" right="0.7" top="0.75" bottom="0.75" header="0.3" footer="0.3"/>
  <headerFooter scaleWithDoc="1" alignWithMargins="0" differentFirst="0" differentOddEven="0"/>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
    <pageSetUpPr fitToPage="1"/>
  </sheetPr>
  <dimension ref="A1:Q109"/>
  <sheetViews>
    <sheetView showGridLines="0" showRowColHeaders="0" zoomScale="110" view="pageLayout" workbookViewId="0">
      <selection pane="topLeft" activeCell="M22" sqref="M22"/>
    </sheetView>
  </sheetViews>
  <sheetFormatPr defaultColWidth="5.7265625" defaultRowHeight="10.5"/>
  <cols>
    <col min="1" max="1" width="10.7109375" style="26" customWidth="1"/>
    <col min="2" max="3" width="10.27734375" style="26" customWidth="1"/>
    <col min="4" max="4" width="10.84765625" style="26" customWidth="1"/>
    <col min="5" max="5" width="8.27734375" style="26" customWidth="1"/>
    <col min="6" max="6" width="9.27734375" style="26" customWidth="1"/>
    <col min="7" max="7" width="12.7109375" style="26" customWidth="1"/>
    <col min="8" max="8" width="24.27734375" style="26" customWidth="1"/>
    <col min="9" max="9" width="5.140625" style="26" customWidth="1"/>
    <col min="10" max="10" width="22.84765625" style="26" customWidth="1"/>
    <col min="11" max="11" width="0.85546875" style="26" customWidth="1"/>
    <col min="12" max="12" width="13.7109375" style="26" customWidth="1"/>
    <col min="13" max="13" width="6.5703125" style="26" customWidth="1"/>
    <col min="14" max="14" width="10.140625" style="26" customWidth="1"/>
    <col min="15" max="15" width="5.140625" style="26" customWidth="1"/>
    <col min="16" max="16" width="17" style="26" customWidth="1"/>
    <col min="17" max="17" width="0.28125" style="26" customWidth="1"/>
    <col min="18" max="16384" width="5.7109375" style="26" customWidth="1"/>
  </cols>
  <sheetData>
    <row r="1" spans="1:16" ht="13.5" customHeight="1">
      <c r="A1" s="124" t="s">
        <v>0</v>
      </c>
      <c r="B1" s="124"/>
      <c r="C1" s="24">
        <f>'Patient information entry'!C3</f>
        <v>0</v>
      </c>
      <c r="D1" s="125" t="s">
        <v>3</v>
      </c>
      <c r="E1" s="125"/>
      <c r="F1" s="25">
        <f>IF('Patient information entry'!G14="yes",'Patient information entry'!C11,0)</f>
        <v>0</v>
      </c>
      <c r="G1" s="31" t="s">
        <v>12</v>
      </c>
      <c r="H1" s="126" t="s">
        <v>13</v>
      </c>
      <c r="I1" s="126"/>
      <c r="J1" s="222" t="s">
        <v>14</v>
      </c>
      <c r="K1" s="222"/>
      <c r="L1" s="222"/>
      <c r="M1" s="222"/>
      <c r="N1" s="222"/>
      <c r="O1" s="222"/>
      <c r="P1" s="222"/>
    </row>
    <row r="2" spans="1:16" ht="13.5" customHeight="1">
      <c r="A2" s="124" t="s">
        <v>15</v>
      </c>
      <c r="B2" s="124"/>
      <c r="C2" s="27">
        <f>'Patient information entry'!C5</f>
        <v>0</v>
      </c>
      <c r="D2" s="125" t="s">
        <v>16</v>
      </c>
      <c r="E2" s="125"/>
      <c r="F2" s="86">
        <f>'Patient information entry'!C7</f>
        <v>0</v>
      </c>
      <c r="G2" s="31" t="s">
        <v>17</v>
      </c>
      <c r="H2" s="188" t="s">
        <v>18</v>
      </c>
      <c r="I2" s="188"/>
      <c r="J2" s="222"/>
      <c r="K2" s="222"/>
      <c r="L2" s="222"/>
      <c r="M2" s="222"/>
      <c r="N2" s="222"/>
      <c r="O2" s="222"/>
      <c r="P2" s="222"/>
    </row>
    <row r="3" spans="1:16" ht="4.5" customHeight="1" thickBot="1">
      <c r="A3" s="32"/>
      <c r="B3" s="32"/>
      <c r="C3" s="33"/>
      <c r="D3" s="34"/>
      <c r="E3" s="34"/>
      <c r="F3" s="32"/>
      <c r="G3" s="32"/>
      <c r="H3" s="31"/>
      <c r="I3" s="35"/>
      <c r="J3" s="36"/>
      <c r="K3" s="36"/>
      <c r="L3" s="37"/>
      <c r="M3" s="37"/>
      <c r="N3" s="34"/>
      <c r="O3" s="34"/>
      <c r="P3" s="34"/>
    </row>
    <row r="4" spans="1:16" s="28" customFormat="1" ht="11.25" customHeight="1">
      <c r="A4" s="199" t="s">
        <v>19</v>
      </c>
      <c r="B4" s="200"/>
      <c r="C4" s="200"/>
      <c r="D4" s="200"/>
      <c r="E4" s="200"/>
      <c r="F4" s="200"/>
      <c r="G4" s="200"/>
      <c r="H4" s="200"/>
      <c r="I4" s="200"/>
      <c r="J4" s="201"/>
      <c r="L4" s="210" t="s">
        <v>20</v>
      </c>
      <c r="M4" s="211"/>
      <c r="N4" s="211"/>
      <c r="O4" s="211"/>
      <c r="P4" s="212"/>
    </row>
    <row r="5" spans="1:16" s="28" customFormat="1" ht="14.15" customHeight="1">
      <c r="A5" s="189" t="s">
        <v>121</v>
      </c>
      <c r="B5" s="190"/>
      <c r="C5" s="191" t="s">
        <v>21</v>
      </c>
      <c r="D5" s="190"/>
      <c r="E5" s="191" t="s">
        <v>22</v>
      </c>
      <c r="F5" s="190"/>
      <c r="G5" s="191" t="s">
        <v>23</v>
      </c>
      <c r="H5" s="216"/>
      <c r="I5" s="216"/>
      <c r="J5" s="217"/>
      <c r="L5" s="38" t="s">
        <v>55</v>
      </c>
      <c r="M5" s="39">
        <f>(F1*3)+9</f>
        <v>9</v>
      </c>
      <c r="N5" s="247" t="s">
        <v>24</v>
      </c>
      <c r="O5" s="247"/>
      <c r="P5" s="248"/>
    </row>
    <row r="6" spans="1:16" s="28" customFormat="1" ht="24.75" customHeight="1">
      <c r="A6" s="192" t="s">
        <v>25</v>
      </c>
      <c r="B6" s="138"/>
      <c r="C6" s="193" t="str">
        <f>F1&amp;"kg x 0.2mL"</f>
        <v>0kg x 0.2mL</v>
      </c>
      <c r="D6" s="194"/>
      <c r="E6" s="85">
        <f>0.2*F1</f>
        <v>0</v>
      </c>
      <c r="F6" s="40" t="s">
        <v>87</v>
      </c>
      <c r="G6" s="197" t="s">
        <v>163</v>
      </c>
      <c r="H6" s="220"/>
      <c r="I6" s="220"/>
      <c r="J6" s="221"/>
      <c r="L6" s="38" t="s">
        <v>56</v>
      </c>
      <c r="M6" s="39">
        <f>(1.5*F1)+5.5</f>
        <v>5.5</v>
      </c>
      <c r="N6" s="247" t="s">
        <v>24</v>
      </c>
      <c r="O6" s="247"/>
      <c r="P6" s="248"/>
    </row>
    <row r="7" spans="1:16" s="28" customFormat="1" ht="14.15" customHeight="1">
      <c r="A7" s="219" t="s">
        <v>26</v>
      </c>
      <c r="B7" s="198"/>
      <c r="C7" s="197" t="str">
        <f>F1&amp;"kg x 2.5mL"</f>
        <v>0kg x 2.5mL</v>
      </c>
      <c r="D7" s="198"/>
      <c r="E7" s="41">
        <f>2.5*F1</f>
        <v>0</v>
      </c>
      <c r="F7" s="42" t="s">
        <v>87</v>
      </c>
      <c r="G7" s="135" t="s">
        <v>88</v>
      </c>
      <c r="H7" s="141"/>
      <c r="I7" s="141"/>
      <c r="J7" s="218"/>
      <c r="L7" s="171" t="s">
        <v>154</v>
      </c>
      <c r="M7" s="172"/>
      <c r="N7" s="172"/>
      <c r="O7" s="183" t="str">
        <f>+"UVC:("&amp;F1&amp;"x1.5)+5.5cm+cord                           UAC:("&amp;F1&amp;"x3)+9cm+cord"</f>
        <v>UVC:(0x1.5)+5.5cm+cord                           UAC:(0x3)+9cm+cord</v>
      </c>
      <c r="P7" s="78"/>
    </row>
    <row r="8" spans="1:16" s="28" customFormat="1" ht="14.15" customHeight="1" thickBot="1">
      <c r="A8" s="192" t="s">
        <v>27</v>
      </c>
      <c r="B8" s="138"/>
      <c r="C8" s="137" t="str">
        <f>F1&amp;"kg x 2mL-4mL"</f>
        <v>0kg x 2mL-4mL</v>
      </c>
      <c r="D8" s="138"/>
      <c r="E8" s="226" t="str">
        <f>(2*F1)&amp;"-"&amp;(4*F1)</f>
        <v>0-0</v>
      </c>
      <c r="F8" s="51" t="s">
        <v>87</v>
      </c>
      <c r="G8" s="137" t="s">
        <v>149</v>
      </c>
      <c r="H8" s="195"/>
      <c r="I8" s="195"/>
      <c r="J8" s="196"/>
      <c r="L8" s="180"/>
      <c r="M8" s="181"/>
      <c r="N8" s="181"/>
      <c r="O8" s="186"/>
      <c r="P8" s="187"/>
    </row>
    <row r="9" spans="1:10" s="28" customFormat="1" ht="14.15" customHeight="1" thickBot="1">
      <c r="A9" s="225"/>
      <c r="B9" s="140"/>
      <c r="C9" s="139"/>
      <c r="D9" s="140"/>
      <c r="E9" s="227"/>
      <c r="F9" s="228"/>
      <c r="G9" s="139"/>
      <c r="H9" s="223"/>
      <c r="I9" s="223"/>
      <c r="J9" s="224"/>
    </row>
    <row r="10" spans="1:16" s="28" customFormat="1" ht="14.15" customHeight="1">
      <c r="A10" s="192" t="s">
        <v>28</v>
      </c>
      <c r="B10" s="138"/>
      <c r="C10" s="137" t="str">
        <f>F1&amp;"kg x 2mL"</f>
        <v>0kg x 2mL</v>
      </c>
      <c r="D10" s="138"/>
      <c r="E10" s="226">
        <f>2*F1</f>
        <v>0</v>
      </c>
      <c r="F10" s="51" t="s">
        <v>87</v>
      </c>
      <c r="G10" s="137" t="s">
        <v>160</v>
      </c>
      <c r="H10" s="195"/>
      <c r="I10" s="195"/>
      <c r="J10" s="196"/>
      <c r="L10" s="210" t="s">
        <v>30</v>
      </c>
      <c r="M10" s="211"/>
      <c r="N10" s="211"/>
      <c r="O10" s="211"/>
      <c r="P10" s="212"/>
    </row>
    <row r="11" spans="1:16" s="28" customFormat="1" ht="14.15" customHeight="1">
      <c r="A11" s="225"/>
      <c r="B11" s="140"/>
      <c r="C11" s="139"/>
      <c r="D11" s="140"/>
      <c r="E11" s="227"/>
      <c r="F11" s="228"/>
      <c r="G11" s="139"/>
      <c r="H11" s="223"/>
      <c r="I11" s="223"/>
      <c r="J11" s="224"/>
      <c r="L11" s="171" t="s">
        <v>86</v>
      </c>
      <c r="M11" s="172"/>
      <c r="N11" s="172"/>
      <c r="O11" s="172"/>
      <c r="P11" s="173"/>
    </row>
    <row r="12" spans="1:16" s="28" customFormat="1" ht="14.15" customHeight="1">
      <c r="A12" s="192" t="s">
        <v>122</v>
      </c>
      <c r="B12" s="138"/>
      <c r="C12" s="137" t="str">
        <f>F1&amp;"kg x 10microgram"</f>
        <v>0kg x 10microgram</v>
      </c>
      <c r="D12" s="138"/>
      <c r="E12" s="50">
        <f>10*F1</f>
        <v>0</v>
      </c>
      <c r="F12" s="51" t="s">
        <v>164</v>
      </c>
      <c r="G12" s="137" t="s">
        <v>165</v>
      </c>
      <c r="H12" s="195"/>
      <c r="I12" s="195"/>
      <c r="J12" s="196"/>
      <c r="L12" s="171"/>
      <c r="M12" s="172"/>
      <c r="N12" s="172"/>
      <c r="O12" s="172"/>
      <c r="P12" s="173"/>
    </row>
    <row r="13" spans="1:16" s="28" customFormat="1" ht="14.15" customHeight="1">
      <c r="A13" s="225"/>
      <c r="B13" s="140"/>
      <c r="C13" s="139"/>
      <c r="D13" s="140"/>
      <c r="E13" s="236"/>
      <c r="F13" s="228"/>
      <c r="G13" s="139"/>
      <c r="H13" s="223"/>
      <c r="I13" s="223"/>
      <c r="J13" s="224"/>
      <c r="L13" s="43" t="s">
        <v>57</v>
      </c>
      <c r="M13" s="73"/>
      <c r="N13" s="44" t="s">
        <v>153</v>
      </c>
      <c r="O13" s="246" t="str">
        <f>("Base deficit "&amp;M13&amp;" x                 weight "&amp;F1&amp;"kg x 0.4")</f>
        <v>Base deficit  x                 weight 0kg x 0.4</v>
      </c>
      <c r="P13" s="173"/>
    </row>
    <row r="14" spans="1:16" s="28" customFormat="1" ht="14.15" customHeight="1">
      <c r="A14" s="192" t="s">
        <v>123</v>
      </c>
      <c r="B14" s="138"/>
      <c r="C14" s="137" t="s">
        <v>166</v>
      </c>
      <c r="D14" s="138"/>
      <c r="E14" s="50">
        <v>200</v>
      </c>
      <c r="F14" s="51" t="s">
        <v>164</v>
      </c>
      <c r="G14" s="137" t="s">
        <v>152</v>
      </c>
      <c r="H14" s="195"/>
      <c r="I14" s="195"/>
      <c r="J14" s="196"/>
      <c r="L14" s="43" t="s">
        <v>22</v>
      </c>
      <c r="M14" s="89">
        <f>(M13*F1)*0.4</f>
        <v>0</v>
      </c>
      <c r="N14" s="44" t="s">
        <v>31</v>
      </c>
      <c r="O14" s="246"/>
      <c r="P14" s="173"/>
    </row>
    <row r="15" spans="1:16" s="28" customFormat="1" ht="14.15" customHeight="1" thickBot="1">
      <c r="A15" s="229"/>
      <c r="B15" s="230"/>
      <c r="C15" s="231"/>
      <c r="D15" s="230"/>
      <c r="E15" s="232"/>
      <c r="F15" s="233"/>
      <c r="G15" s="231"/>
      <c r="H15" s="234"/>
      <c r="I15" s="234"/>
      <c r="J15" s="235"/>
      <c r="L15" s="171" t="s">
        <v>223</v>
      </c>
      <c r="M15" s="172"/>
      <c r="N15" s="172"/>
      <c r="O15" s="172"/>
      <c r="P15" s="173"/>
    </row>
    <row r="16" spans="12:16" s="28" customFormat="1" ht="15" customHeight="1" thickBot="1">
      <c r="L16" s="171"/>
      <c r="M16" s="172"/>
      <c r="N16" s="172"/>
      <c r="O16" s="172"/>
      <c r="P16" s="173"/>
    </row>
    <row r="17" spans="1:16" s="28" customFormat="1" ht="12.75" customHeight="1" thickBot="1">
      <c r="A17" s="199" t="s">
        <v>53</v>
      </c>
      <c r="B17" s="200"/>
      <c r="C17" s="200"/>
      <c r="D17" s="200"/>
      <c r="E17" s="200"/>
      <c r="F17" s="200"/>
      <c r="G17" s="200"/>
      <c r="H17" s="200"/>
      <c r="I17" s="200"/>
      <c r="J17" s="201"/>
      <c r="L17" s="180"/>
      <c r="M17" s="181"/>
      <c r="N17" s="181"/>
      <c r="O17" s="181"/>
      <c r="P17" s="182"/>
    </row>
    <row r="18" spans="1:10" s="28" customFormat="1" ht="14.15" customHeight="1" thickBot="1">
      <c r="A18" s="189" t="s">
        <v>121</v>
      </c>
      <c r="B18" s="190"/>
      <c r="C18" s="191" t="s">
        <v>21</v>
      </c>
      <c r="D18" s="190"/>
      <c r="E18" s="191" t="s">
        <v>22</v>
      </c>
      <c r="F18" s="190"/>
      <c r="G18" s="191" t="s">
        <v>23</v>
      </c>
      <c r="H18" s="216"/>
      <c r="I18" s="216"/>
      <c r="J18" s="217"/>
    </row>
    <row r="19" spans="1:16" s="28" customFormat="1" ht="24.75" customHeight="1">
      <c r="A19" s="192" t="s">
        <v>124</v>
      </c>
      <c r="B19" s="138"/>
      <c r="C19" s="193" t="str">
        <f>F1&amp;"kg x 20microgram"</f>
        <v>0kg x 20microgram</v>
      </c>
      <c r="D19" s="194"/>
      <c r="E19" s="46">
        <f>20*F1</f>
        <v>0</v>
      </c>
      <c r="F19" s="40" t="s">
        <v>164</v>
      </c>
      <c r="G19" s="197" t="s">
        <v>167</v>
      </c>
      <c r="H19" s="220"/>
      <c r="I19" s="220"/>
      <c r="J19" s="221"/>
      <c r="L19" s="210" t="s">
        <v>58</v>
      </c>
      <c r="M19" s="211"/>
      <c r="N19" s="211"/>
      <c r="O19" s="211"/>
      <c r="P19" s="212"/>
    </row>
    <row r="20" spans="1:16" s="28" customFormat="1" ht="13.5" customHeight="1">
      <c r="A20" s="192" t="s">
        <v>125</v>
      </c>
      <c r="B20" s="138"/>
      <c r="C20" s="193" t="str">
        <f>F1&amp;"kg x 4microgram"</f>
        <v>0kg x 4microgram</v>
      </c>
      <c r="D20" s="194"/>
      <c r="E20" s="226">
        <f>4*F1</f>
        <v>0</v>
      </c>
      <c r="F20" s="51" t="s">
        <v>164</v>
      </c>
      <c r="G20" s="137" t="s">
        <v>168</v>
      </c>
      <c r="H20" s="195"/>
      <c r="I20" s="195"/>
      <c r="J20" s="196"/>
      <c r="L20" s="79" t="s">
        <v>59</v>
      </c>
      <c r="M20" s="80"/>
      <c r="N20" s="80"/>
      <c r="O20" s="80"/>
      <c r="P20" s="213"/>
    </row>
    <row r="21" spans="1:16" s="28" customFormat="1" ht="13.5" customHeight="1">
      <c r="A21" s="225"/>
      <c r="B21" s="140"/>
      <c r="C21" s="237"/>
      <c r="D21" s="238"/>
      <c r="E21" s="227"/>
      <c r="F21" s="228"/>
      <c r="G21" s="139"/>
      <c r="H21" s="223"/>
      <c r="I21" s="223"/>
      <c r="J21" s="224"/>
      <c r="L21" s="79"/>
      <c r="M21" s="80"/>
      <c r="N21" s="80"/>
      <c r="O21" s="81"/>
      <c r="P21" s="78"/>
    </row>
    <row r="22" spans="1:16" s="28" customFormat="1" ht="14.15" customHeight="1">
      <c r="A22" s="192" t="s">
        <v>126</v>
      </c>
      <c r="B22" s="138"/>
      <c r="C22" s="193" t="str">
        <f>F1&amp;"kg x 2mg"</f>
        <v>0kg x 2mg</v>
      </c>
      <c r="D22" s="194"/>
      <c r="E22" s="47">
        <f>2*F1</f>
        <v>0</v>
      </c>
      <c r="F22" s="40" t="s">
        <v>29</v>
      </c>
      <c r="G22" s="197" t="s">
        <v>115</v>
      </c>
      <c r="H22" s="220"/>
      <c r="I22" s="220"/>
      <c r="J22" s="221"/>
      <c r="L22" s="48" t="s">
        <v>60</v>
      </c>
      <c r="M22" s="74"/>
      <c r="N22" s="44" t="s">
        <v>32</v>
      </c>
      <c r="O22" s="183" t="str">
        <f>IF(ISBLANK(M22),"OI=(MAP x FiO2)/(PaO2 x 7.5)","(MAP "&amp;M23&amp;"cmH20 x FiO2 "&amp;M22&amp;" %)/(PaO2 "&amp;M24&amp;"kPa x 7.5)")</f>
        <v>OI=(MAP x FiO2)/(PaO2 x 7.5)</v>
      </c>
      <c r="P22" s="78"/>
    </row>
    <row r="23" spans="1:16" s="28" customFormat="1" ht="14.15" customHeight="1">
      <c r="A23" s="192" t="s">
        <v>127</v>
      </c>
      <c r="B23" s="138"/>
      <c r="C23" s="193" t="str">
        <f>F1&amp;"kg x 100microgram"</f>
        <v>0kg x 100microgram</v>
      </c>
      <c r="D23" s="194"/>
      <c r="E23" s="50">
        <f>100*F1</f>
        <v>0</v>
      </c>
      <c r="F23" s="51" t="s">
        <v>164</v>
      </c>
      <c r="G23" s="197" t="s">
        <v>169</v>
      </c>
      <c r="H23" s="220"/>
      <c r="I23" s="220"/>
      <c r="J23" s="221"/>
      <c r="L23" s="48" t="s">
        <v>61</v>
      </c>
      <c r="M23" s="74"/>
      <c r="N23" s="45" t="s">
        <v>34</v>
      </c>
      <c r="O23" s="184"/>
      <c r="P23" s="185"/>
    </row>
    <row r="24" spans="1:16" s="28" customFormat="1" ht="14.15" customHeight="1" thickBot="1">
      <c r="A24" s="229"/>
      <c r="B24" s="230"/>
      <c r="C24" s="239"/>
      <c r="D24" s="240"/>
      <c r="E24" s="232"/>
      <c r="F24" s="233"/>
      <c r="G24" s="241"/>
      <c r="H24" s="242"/>
      <c r="I24" s="242"/>
      <c r="J24" s="243"/>
      <c r="L24" s="48" t="s">
        <v>62</v>
      </c>
      <c r="M24" s="75"/>
      <c r="N24" s="45" t="s">
        <v>35</v>
      </c>
      <c r="O24" s="184"/>
      <c r="P24" s="185"/>
    </row>
    <row r="25" spans="12:16" s="28" customFormat="1" ht="11.25" customHeight="1" thickBot="1">
      <c r="L25" s="49" t="s">
        <v>36</v>
      </c>
      <c r="M25" s="214" t="e">
        <f>(M22*M23)/(M24*7.5)</f>
        <v>#DIV/0!</v>
      </c>
      <c r="N25" s="215"/>
      <c r="O25" s="186"/>
      <c r="P25" s="187"/>
    </row>
    <row r="26" spans="1:10" s="28" customFormat="1" ht="11.25" customHeight="1" thickBot="1">
      <c r="A26" s="202" t="s">
        <v>42</v>
      </c>
      <c r="B26" s="203"/>
      <c r="C26" s="203"/>
      <c r="D26" s="203"/>
      <c r="E26" s="203"/>
      <c r="F26" s="203"/>
      <c r="G26" s="203"/>
      <c r="H26" s="203"/>
      <c r="I26" s="203"/>
      <c r="J26" s="204"/>
    </row>
    <row r="27" spans="1:16" s="28" customFormat="1" ht="14.15" customHeight="1">
      <c r="A27" s="205" t="s">
        <v>121</v>
      </c>
      <c r="B27" s="206"/>
      <c r="C27" s="207" t="s">
        <v>21</v>
      </c>
      <c r="D27" s="206"/>
      <c r="E27" s="207" t="s">
        <v>22</v>
      </c>
      <c r="F27" s="206"/>
      <c r="G27" s="207" t="s">
        <v>23</v>
      </c>
      <c r="H27" s="208"/>
      <c r="I27" s="208"/>
      <c r="J27" s="209"/>
      <c r="L27" s="168" t="s">
        <v>37</v>
      </c>
      <c r="M27" s="169"/>
      <c r="N27" s="169"/>
      <c r="O27" s="169"/>
      <c r="P27" s="170"/>
    </row>
    <row r="28" spans="1:16" s="28" customFormat="1" ht="14.15" customHeight="1">
      <c r="A28" s="192" t="s">
        <v>127</v>
      </c>
      <c r="B28" s="138"/>
      <c r="C28" s="193" t="str">
        <f>F1&amp;"kg x 100microgram"</f>
        <v>0kg x 100microgram</v>
      </c>
      <c r="D28" s="194"/>
      <c r="E28" s="50">
        <f>F1*100</f>
        <v>0</v>
      </c>
      <c r="F28" s="51" t="s">
        <v>164</v>
      </c>
      <c r="G28" s="197" t="s">
        <v>170</v>
      </c>
      <c r="H28" s="220"/>
      <c r="I28" s="220"/>
      <c r="J28" s="221"/>
      <c r="L28" s="171" t="s">
        <v>39</v>
      </c>
      <c r="M28" s="172"/>
      <c r="N28" s="172"/>
      <c r="O28" s="172"/>
      <c r="P28" s="173"/>
    </row>
    <row r="29" spans="1:16" s="28" customFormat="1" ht="14.15" customHeight="1">
      <c r="A29" s="225"/>
      <c r="B29" s="140"/>
      <c r="C29" s="237"/>
      <c r="D29" s="238"/>
      <c r="E29" s="236"/>
      <c r="F29" s="228"/>
      <c r="G29" s="197"/>
      <c r="H29" s="220"/>
      <c r="I29" s="220"/>
      <c r="J29" s="221"/>
      <c r="L29" s="171"/>
      <c r="M29" s="172"/>
      <c r="N29" s="172"/>
      <c r="O29" s="172"/>
      <c r="P29" s="173"/>
    </row>
    <row r="30" spans="1:16" s="28" customFormat="1" ht="17.25" customHeight="1">
      <c r="A30" s="192" t="s">
        <v>128</v>
      </c>
      <c r="B30" s="138"/>
      <c r="C30" s="193" t="str">
        <f>F1&amp;"kg x 100-200microgram"</f>
        <v>0kg x 100-200microgram</v>
      </c>
      <c r="D30" s="194"/>
      <c r="E30" s="50" t="str">
        <f>(100*F1)&amp;"-"&amp;(200*F1)</f>
        <v>0-0</v>
      </c>
      <c r="F30" s="40" t="s">
        <v>164</v>
      </c>
      <c r="G30" s="197" t="s">
        <v>171</v>
      </c>
      <c r="H30" s="220"/>
      <c r="I30" s="220"/>
      <c r="J30" s="221"/>
      <c r="L30" s="171" t="s">
        <v>155</v>
      </c>
      <c r="M30" s="172"/>
      <c r="N30" s="172"/>
      <c r="O30" s="175" t="s">
        <v>63</v>
      </c>
      <c r="P30" s="173"/>
    </row>
    <row r="31" spans="1:16" s="28" customFormat="1" ht="15.75" customHeight="1">
      <c r="A31" s="192" t="s">
        <v>129</v>
      </c>
      <c r="B31" s="138"/>
      <c r="C31" s="193" t="str">
        <f>F1&amp;"kg x 80microgram"</f>
        <v>0kg x 80microgram</v>
      </c>
      <c r="D31" s="194"/>
      <c r="E31" s="50">
        <f>F1*80</f>
        <v>0</v>
      </c>
      <c r="F31" s="51" t="s">
        <v>164</v>
      </c>
      <c r="G31" s="137" t="s">
        <v>172</v>
      </c>
      <c r="H31" s="195"/>
      <c r="I31" s="195"/>
      <c r="J31" s="196"/>
      <c r="L31" s="171"/>
      <c r="M31" s="172"/>
      <c r="N31" s="172"/>
      <c r="O31" s="172"/>
      <c r="P31" s="173"/>
    </row>
    <row r="32" spans="1:16" s="28" customFormat="1" ht="24.75" customHeight="1">
      <c r="A32" s="219" t="s">
        <v>130</v>
      </c>
      <c r="B32" s="198"/>
      <c r="C32" s="244" t="str">
        <f>F1&amp;"kg x 300-500microgram"</f>
        <v>0kg x 300-500microgram</v>
      </c>
      <c r="D32" s="245"/>
      <c r="E32" s="52" t="str">
        <f>(300*F1)&amp;"-"&amp;(500*F1)</f>
        <v>0-0</v>
      </c>
      <c r="F32" s="53" t="s">
        <v>164</v>
      </c>
      <c r="G32" s="197" t="s">
        <v>173</v>
      </c>
      <c r="H32" s="220"/>
      <c r="I32" s="220"/>
      <c r="J32" s="221"/>
      <c r="L32" s="171" t="s">
        <v>64</v>
      </c>
      <c r="M32" s="172"/>
      <c r="N32" s="172"/>
      <c r="O32" s="172"/>
      <c r="P32" s="173"/>
    </row>
    <row r="33" spans="1:16" s="28" customFormat="1" ht="24" customHeight="1" thickBot="1">
      <c r="A33" s="219" t="s">
        <v>131</v>
      </c>
      <c r="B33" s="198"/>
      <c r="C33" s="244" t="str">
        <f>F1&amp;"kg x 600microgram"</f>
        <v>0kg x 600microgram</v>
      </c>
      <c r="D33" s="245"/>
      <c r="E33" s="52">
        <f>F1*600</f>
        <v>0</v>
      </c>
      <c r="F33" s="53" t="s">
        <v>164</v>
      </c>
      <c r="G33" s="197" t="s">
        <v>174</v>
      </c>
      <c r="H33" s="220"/>
      <c r="I33" s="220"/>
      <c r="J33" s="221"/>
      <c r="L33" s="180"/>
      <c r="M33" s="181"/>
      <c r="N33" s="181"/>
      <c r="O33" s="181"/>
      <c r="P33" s="182"/>
    </row>
    <row r="34" spans="1:10" s="28" customFormat="1" ht="14.15" customHeight="1" thickBot="1">
      <c r="A34" s="192" t="s">
        <v>132</v>
      </c>
      <c r="B34" s="138"/>
      <c r="C34" s="193" t="str">
        <f>F1&amp;"kg x 100microgram"</f>
        <v>0kg x 100microgram</v>
      </c>
      <c r="D34" s="194"/>
      <c r="E34" s="50">
        <f>F1*100</f>
        <v>0</v>
      </c>
      <c r="F34" s="51" t="s">
        <v>164</v>
      </c>
      <c r="G34" s="137" t="s">
        <v>175</v>
      </c>
      <c r="H34" s="195"/>
      <c r="I34" s="195"/>
      <c r="J34" s="196"/>
    </row>
    <row r="35" spans="1:16" s="28" customFormat="1" ht="14.15" customHeight="1" thickBot="1">
      <c r="A35" s="229"/>
      <c r="B35" s="230"/>
      <c r="C35" s="239"/>
      <c r="D35" s="240"/>
      <c r="E35" s="232"/>
      <c r="F35" s="233"/>
      <c r="G35" s="231"/>
      <c r="H35" s="234"/>
      <c r="I35" s="234"/>
      <c r="J35" s="235"/>
      <c r="L35" s="168" t="s">
        <v>38</v>
      </c>
      <c r="M35" s="169"/>
      <c r="N35" s="169"/>
      <c r="O35" s="169"/>
      <c r="P35" s="170"/>
    </row>
    <row r="36" spans="1:16" s="28" customFormat="1" ht="14.15" customHeight="1" thickBot="1">
      <c r="A36" s="54"/>
      <c r="B36" s="54"/>
      <c r="C36" s="55"/>
      <c r="D36" s="55"/>
      <c r="E36" s="56"/>
      <c r="F36" s="54"/>
      <c r="G36" s="54"/>
      <c r="H36" s="54"/>
      <c r="I36" s="54"/>
      <c r="J36" s="54"/>
      <c r="L36" s="171" t="s">
        <v>89</v>
      </c>
      <c r="M36" s="172"/>
      <c r="N36" s="172"/>
      <c r="O36" s="172"/>
      <c r="P36" s="173"/>
    </row>
    <row r="37" spans="1:16" s="28" customFormat="1" ht="14.15" customHeight="1">
      <c r="A37" s="202" t="s">
        <v>43</v>
      </c>
      <c r="B37" s="203"/>
      <c r="C37" s="203"/>
      <c r="D37" s="203"/>
      <c r="E37" s="203"/>
      <c r="F37" s="203"/>
      <c r="G37" s="203"/>
      <c r="H37" s="203"/>
      <c r="I37" s="203"/>
      <c r="J37" s="204"/>
      <c r="L37" s="171" t="s">
        <v>90</v>
      </c>
      <c r="M37" s="172"/>
      <c r="N37" s="172"/>
      <c r="O37" s="172"/>
      <c r="P37" s="173"/>
    </row>
    <row r="38" spans="1:16" s="28" customFormat="1" ht="14.15" customHeight="1">
      <c r="A38" s="205" t="s">
        <v>121</v>
      </c>
      <c r="B38" s="206"/>
      <c r="C38" s="207" t="s">
        <v>21</v>
      </c>
      <c r="D38" s="206"/>
      <c r="E38" s="207" t="s">
        <v>22</v>
      </c>
      <c r="F38" s="206"/>
      <c r="G38" s="207" t="s">
        <v>23</v>
      </c>
      <c r="H38" s="208"/>
      <c r="I38" s="208"/>
      <c r="J38" s="209"/>
      <c r="L38" s="171" t="s">
        <v>91</v>
      </c>
      <c r="M38" s="172"/>
      <c r="N38" s="172"/>
      <c r="O38" s="172"/>
      <c r="P38" s="173"/>
    </row>
    <row r="39" spans="1:16" s="28" customFormat="1" ht="14.15" customHeight="1">
      <c r="A39" s="219" t="s">
        <v>133</v>
      </c>
      <c r="B39" s="198"/>
      <c r="C39" s="244" t="str">
        <f>F1&amp;"kg x 20mg"</f>
        <v>0kg x 20mg</v>
      </c>
      <c r="D39" s="245"/>
      <c r="E39" s="57">
        <f>20*F1</f>
        <v>0</v>
      </c>
      <c r="F39" s="42" t="s">
        <v>29</v>
      </c>
      <c r="G39" s="197" t="s">
        <v>92</v>
      </c>
      <c r="H39" s="220"/>
      <c r="I39" s="220"/>
      <c r="J39" s="221"/>
      <c r="L39" s="174" t="s">
        <v>41</v>
      </c>
      <c r="M39" s="175"/>
      <c r="N39" s="175"/>
      <c r="O39" s="175"/>
      <c r="P39" s="176"/>
    </row>
    <row r="40" spans="1:16" s="28" customFormat="1" ht="14.15" customHeight="1" thickBot="1">
      <c r="A40" s="192" t="s">
        <v>134</v>
      </c>
      <c r="B40" s="138"/>
      <c r="C40" s="193" t="str">
        <f>F1&amp;"kg x 20mg"</f>
        <v>0kg x 20mg</v>
      </c>
      <c r="D40" s="194"/>
      <c r="E40" s="50">
        <f>20*F1</f>
        <v>0</v>
      </c>
      <c r="F40" s="51" t="s">
        <v>29</v>
      </c>
      <c r="G40" s="137" t="s">
        <v>117</v>
      </c>
      <c r="H40" s="195"/>
      <c r="I40" s="195"/>
      <c r="J40" s="196"/>
      <c r="L40" s="177"/>
      <c r="M40" s="178"/>
      <c r="N40" s="178"/>
      <c r="O40" s="178"/>
      <c r="P40" s="179"/>
    </row>
    <row r="41" spans="1:10" s="28" customFormat="1" ht="14.15" customHeight="1" thickBot="1">
      <c r="A41" s="225"/>
      <c r="B41" s="140"/>
      <c r="C41" s="237"/>
      <c r="D41" s="238"/>
      <c r="E41" s="236"/>
      <c r="F41" s="228"/>
      <c r="G41" s="139"/>
      <c r="H41" s="223"/>
      <c r="I41" s="223"/>
      <c r="J41" s="224"/>
    </row>
    <row r="42" spans="1:16" s="28" customFormat="1" ht="14.15" customHeight="1">
      <c r="A42" s="192" t="s">
        <v>128</v>
      </c>
      <c r="B42" s="138"/>
      <c r="C42" s="193" t="str">
        <f>F1&amp;"kg x 100-200microgram"</f>
        <v>0kg x 100-200microgram</v>
      </c>
      <c r="D42" s="194"/>
      <c r="E42" s="50" t="str">
        <f>(100*F1)&amp;"-"&amp;(200*F1)</f>
        <v>0-0</v>
      </c>
      <c r="F42" s="51" t="s">
        <v>164</v>
      </c>
      <c r="G42" s="137" t="s">
        <v>176</v>
      </c>
      <c r="H42" s="195"/>
      <c r="I42" s="195"/>
      <c r="J42" s="196"/>
      <c r="L42" s="168" t="s">
        <v>47</v>
      </c>
      <c r="M42" s="169"/>
      <c r="N42" s="169"/>
      <c r="O42" s="169"/>
      <c r="P42" s="170"/>
    </row>
    <row r="43" spans="1:16" s="28" customFormat="1" ht="14.15" customHeight="1">
      <c r="A43" s="225"/>
      <c r="B43" s="140"/>
      <c r="C43" s="237"/>
      <c r="D43" s="238"/>
      <c r="E43" s="236"/>
      <c r="F43" s="228"/>
      <c r="G43" s="139"/>
      <c r="H43" s="223"/>
      <c r="I43" s="223"/>
      <c r="J43" s="224"/>
      <c r="L43" s="58" t="s">
        <v>48</v>
      </c>
      <c r="M43" s="76"/>
      <c r="N43" s="59" t="s">
        <v>93</v>
      </c>
      <c r="O43" s="172" t="s">
        <v>65</v>
      </c>
      <c r="P43" s="173"/>
    </row>
    <row r="44" spans="1:16" s="28" customFormat="1" ht="14.15" customHeight="1">
      <c r="A44" s="192" t="s">
        <v>135</v>
      </c>
      <c r="B44" s="138"/>
      <c r="C44" s="193" t="str">
        <f>F1&amp;"kg x 100microgram"</f>
        <v>0kg x 100microgram</v>
      </c>
      <c r="D44" s="194"/>
      <c r="E44" s="50">
        <f>100*F1</f>
        <v>0</v>
      </c>
      <c r="F44" s="51" t="s">
        <v>164</v>
      </c>
      <c r="G44" s="137" t="s">
        <v>177</v>
      </c>
      <c r="H44" s="195"/>
      <c r="I44" s="195"/>
      <c r="J44" s="196"/>
      <c r="L44" s="58" t="s">
        <v>50</v>
      </c>
      <c r="M44" s="76"/>
      <c r="N44" s="59" t="s">
        <v>32</v>
      </c>
      <c r="O44" s="88">
        <f>(M43*M44)/144</f>
        <v>0</v>
      </c>
      <c r="P44" s="60" t="s">
        <v>49</v>
      </c>
    </row>
    <row r="45" spans="1:16" s="28" customFormat="1" ht="14.15" customHeight="1" thickBot="1">
      <c r="A45" s="225"/>
      <c r="B45" s="140"/>
      <c r="C45" s="237"/>
      <c r="D45" s="238"/>
      <c r="E45" s="236"/>
      <c r="F45" s="228"/>
      <c r="G45" s="139"/>
      <c r="H45" s="223"/>
      <c r="I45" s="223"/>
      <c r="J45" s="224"/>
      <c r="L45" s="180" t="str">
        <f>IF(ISBLANK(M43),"GIR=(glucose mL/kg/day x glucose concentration)/144","(glucose "&amp;M43&amp;"mLs/kg/day x glucose concentration "&amp;M44&amp;"%) / 144")</f>
        <v>GIR=(glucose mL/kg/day x glucose concentration)/144</v>
      </c>
      <c r="M45" s="181"/>
      <c r="N45" s="181"/>
      <c r="O45" s="181"/>
      <c r="P45" s="182"/>
    </row>
    <row r="46" spans="1:10" s="28" customFormat="1" ht="14.15" customHeight="1">
      <c r="A46" s="192" t="s">
        <v>54</v>
      </c>
      <c r="B46" s="138"/>
      <c r="C46" s="193" t="str">
        <f>F1&amp;"kg x 0.8mL"</f>
        <v>0kg x 0.8mL</v>
      </c>
      <c r="D46" s="194"/>
      <c r="E46" s="226">
        <f>0.8*F1</f>
        <v>0</v>
      </c>
      <c r="F46" s="51" t="s">
        <v>87</v>
      </c>
      <c r="G46" s="137" t="s">
        <v>106</v>
      </c>
      <c r="H46" s="195"/>
      <c r="I46" s="195"/>
      <c r="J46" s="196"/>
    </row>
    <row r="47" spans="1:10" s="28" customFormat="1" ht="14.15" customHeight="1" thickBot="1">
      <c r="A47" s="229"/>
      <c r="B47" s="230"/>
      <c r="C47" s="239"/>
      <c r="D47" s="240"/>
      <c r="E47" s="255"/>
      <c r="F47" s="233"/>
      <c r="G47" s="231"/>
      <c r="H47" s="234"/>
      <c r="I47" s="234"/>
      <c r="J47" s="235"/>
    </row>
    <row r="48" spans="1:16" ht="23.25" customHeight="1">
      <c r="A48" s="87" t="s">
        <v>217</v>
      </c>
      <c r="B48" s="87"/>
      <c r="C48" s="87"/>
      <c r="D48" s="87"/>
      <c r="E48" s="87"/>
      <c r="F48" s="87"/>
      <c r="G48" s="87"/>
      <c r="H48" s="87"/>
      <c r="I48" s="87"/>
      <c r="J48" s="87"/>
      <c r="K48" s="87"/>
      <c r="L48" s="87"/>
      <c r="M48" s="87"/>
      <c r="N48" s="87"/>
      <c r="O48" s="87"/>
      <c r="P48" s="87"/>
    </row>
    <row r="49" spans="1:16" ht="6" customHeight="1">
      <c r="A49" s="87"/>
      <c r="B49" s="87"/>
      <c r="C49" s="87"/>
      <c r="D49" s="87"/>
      <c r="E49" s="87"/>
      <c r="F49" s="87"/>
      <c r="G49" s="87"/>
      <c r="H49" s="87"/>
      <c r="I49" s="87"/>
      <c r="J49" s="87"/>
      <c r="K49" s="87"/>
      <c r="L49" s="87"/>
      <c r="M49" s="87"/>
      <c r="N49" s="87"/>
      <c r="O49" s="87"/>
      <c r="P49" s="87"/>
    </row>
    <row r="50" spans="1:16" ht="16.5" customHeight="1">
      <c r="A50" s="124" t="s">
        <v>0</v>
      </c>
      <c r="B50" s="124"/>
      <c r="C50" s="24">
        <f>'Patient information entry'!C3</f>
        <v>0</v>
      </c>
      <c r="D50" s="125" t="s">
        <v>3</v>
      </c>
      <c r="E50" s="125"/>
      <c r="F50" s="25">
        <f>IF('Patient information entry'!G14="yes",'Patient information entry'!C11,0)</f>
        <v>0</v>
      </c>
      <c r="G50" s="31" t="s">
        <v>12</v>
      </c>
      <c r="H50" s="126" t="s">
        <v>13</v>
      </c>
      <c r="I50" s="126"/>
      <c r="J50" s="87"/>
      <c r="K50" s="87"/>
      <c r="L50" s="87"/>
      <c r="M50" s="87"/>
      <c r="N50" s="87"/>
      <c r="O50" s="87"/>
      <c r="P50" s="87"/>
    </row>
    <row r="51" spans="1:16" ht="16.5" customHeight="1">
      <c r="A51" s="124" t="s">
        <v>15</v>
      </c>
      <c r="B51" s="124"/>
      <c r="C51" s="27">
        <f>'Patient information entry'!C5</f>
        <v>0</v>
      </c>
      <c r="D51" s="125" t="s">
        <v>16</v>
      </c>
      <c r="E51" s="125"/>
      <c r="F51" s="86">
        <f>'Patient information entry'!C7</f>
        <v>0</v>
      </c>
      <c r="G51" s="31" t="s">
        <v>17</v>
      </c>
      <c r="H51" s="127"/>
      <c r="I51" s="127"/>
      <c r="J51" s="87"/>
      <c r="K51" s="87"/>
      <c r="L51" s="87"/>
      <c r="M51" s="87"/>
      <c r="N51" s="87"/>
      <c r="O51" s="87"/>
      <c r="P51" s="87"/>
    </row>
    <row r="52" spans="1:16" ht="2.9" customHeight="1" thickBot="1">
      <c r="A52" s="87"/>
      <c r="B52" s="87"/>
      <c r="C52" s="87"/>
      <c r="D52" s="87"/>
      <c r="E52" s="87"/>
      <c r="F52" s="87"/>
      <c r="G52" s="87"/>
      <c r="H52" s="87"/>
      <c r="I52" s="87"/>
      <c r="J52" s="87"/>
      <c r="K52" s="87"/>
      <c r="L52" s="87"/>
      <c r="M52" s="87"/>
      <c r="N52" s="87"/>
      <c r="O52" s="87"/>
      <c r="P52" s="87"/>
    </row>
    <row r="53" spans="1:16" s="29" customFormat="1" ht="12" customHeight="1">
      <c r="A53" s="249" t="s">
        <v>44</v>
      </c>
      <c r="B53" s="250"/>
      <c r="C53" s="250"/>
      <c r="D53" s="250"/>
      <c r="E53" s="250"/>
      <c r="F53" s="250"/>
      <c r="G53" s="250"/>
      <c r="H53" s="250"/>
      <c r="I53" s="250"/>
      <c r="J53" s="251"/>
      <c r="K53" s="61"/>
      <c r="L53" s="249" t="s">
        <v>71</v>
      </c>
      <c r="M53" s="250"/>
      <c r="N53" s="250"/>
      <c r="O53" s="250"/>
      <c r="P53" s="251"/>
    </row>
    <row r="54" spans="1:16" s="29" customFormat="1" ht="12.25" customHeight="1">
      <c r="A54" s="205" t="s">
        <v>121</v>
      </c>
      <c r="B54" s="206"/>
      <c r="C54" s="207" t="s">
        <v>21</v>
      </c>
      <c r="D54" s="206"/>
      <c r="E54" s="207" t="s">
        <v>22</v>
      </c>
      <c r="F54" s="206"/>
      <c r="G54" s="207" t="s">
        <v>23</v>
      </c>
      <c r="H54" s="208"/>
      <c r="I54" s="208"/>
      <c r="J54" s="209"/>
      <c r="K54" s="61"/>
      <c r="L54" s="252" t="s">
        <v>121</v>
      </c>
      <c r="M54" s="253" t="s">
        <v>21</v>
      </c>
      <c r="N54" s="253"/>
      <c r="O54" s="253" t="s">
        <v>22</v>
      </c>
      <c r="P54" s="254"/>
    </row>
    <row r="55" spans="1:16" s="29" customFormat="1" ht="12.25" customHeight="1">
      <c r="A55" s="259" t="s">
        <v>45</v>
      </c>
      <c r="B55" s="260"/>
      <c r="C55" s="260" t="str">
        <f>F1&amp;"kg x 0.1mL"</f>
        <v>0kg x 0.1mL</v>
      </c>
      <c r="D55" s="260"/>
      <c r="E55" s="62">
        <f>F1*0.1</f>
        <v>0</v>
      </c>
      <c r="F55" s="63" t="s">
        <v>87</v>
      </c>
      <c r="G55" s="118" t="s">
        <v>162</v>
      </c>
      <c r="H55" s="119"/>
      <c r="I55" s="119"/>
      <c r="J55" s="263"/>
      <c r="K55" s="61"/>
      <c r="L55" s="252"/>
      <c r="M55" s="253"/>
      <c r="N55" s="253"/>
      <c r="O55" s="253"/>
      <c r="P55" s="254"/>
    </row>
    <row r="56" spans="1:16" s="29" customFormat="1" ht="12.25" customHeight="1">
      <c r="A56" s="259"/>
      <c r="B56" s="260"/>
      <c r="C56" s="261" t="s">
        <v>70</v>
      </c>
      <c r="D56" s="62"/>
      <c r="E56" s="262" t="s">
        <v>150</v>
      </c>
      <c r="F56" s="260"/>
      <c r="G56" s="121"/>
      <c r="H56" s="122"/>
      <c r="I56" s="122"/>
      <c r="J56" s="264"/>
      <c r="K56" s="61"/>
      <c r="L56" s="268" t="s">
        <v>139</v>
      </c>
      <c r="M56" s="83" t="str">
        <f>F1&amp;"kg x 20microgram"</f>
        <v>0kg x 20microgram</v>
      </c>
      <c r="N56" s="83"/>
      <c r="O56" s="266">
        <f>20*F1</f>
        <v>0</v>
      </c>
      <c r="P56" s="269" t="s">
        <v>164</v>
      </c>
    </row>
    <row r="57" spans="1:16" s="29" customFormat="1" ht="12.25" customHeight="1">
      <c r="A57" s="268" t="s">
        <v>136</v>
      </c>
      <c r="B57" s="83"/>
      <c r="C57" s="83" t="str">
        <f>F1&amp;"kg x 150microgram"</f>
        <v>0kg x 150microgram</v>
      </c>
      <c r="D57" s="83"/>
      <c r="E57" s="266">
        <f>150*F1</f>
        <v>0</v>
      </c>
      <c r="F57" s="267" t="s">
        <v>164</v>
      </c>
      <c r="G57" s="83" t="s">
        <v>178</v>
      </c>
      <c r="H57" s="83"/>
      <c r="I57" s="83"/>
      <c r="J57" s="265"/>
      <c r="K57" s="61"/>
      <c r="L57" s="268"/>
      <c r="M57" s="83"/>
      <c r="N57" s="83"/>
      <c r="O57" s="266"/>
      <c r="P57" s="269"/>
    </row>
    <row r="58" spans="1:16" s="29" customFormat="1" ht="12.25" customHeight="1">
      <c r="A58" s="268"/>
      <c r="B58" s="83"/>
      <c r="C58" s="83"/>
      <c r="D58" s="83"/>
      <c r="E58" s="266"/>
      <c r="F58" s="267"/>
      <c r="G58" s="83"/>
      <c r="H58" s="83"/>
      <c r="I58" s="83"/>
      <c r="J58" s="265"/>
      <c r="K58" s="61"/>
      <c r="L58" s="270" t="s">
        <v>179</v>
      </c>
      <c r="M58" s="119"/>
      <c r="N58" s="119"/>
      <c r="O58" s="119"/>
      <c r="P58" s="263"/>
    </row>
    <row r="59" spans="1:16" s="29" customFormat="1" ht="12.25" customHeight="1">
      <c r="A59" s="268"/>
      <c r="B59" s="83"/>
      <c r="C59" s="83"/>
      <c r="D59" s="83"/>
      <c r="E59" s="266"/>
      <c r="F59" s="267"/>
      <c r="G59" s="83"/>
      <c r="H59" s="83"/>
      <c r="I59" s="83"/>
      <c r="J59" s="265"/>
      <c r="K59" s="61"/>
      <c r="L59" s="271"/>
      <c r="M59" s="272"/>
      <c r="N59" s="272"/>
      <c r="O59" s="272"/>
      <c r="P59" s="273"/>
    </row>
    <row r="60" spans="1:16" s="29" customFormat="1" ht="12.25" customHeight="1">
      <c r="A60" s="259" t="s">
        <v>137</v>
      </c>
      <c r="B60" s="260"/>
      <c r="C60" s="260" t="str">
        <f>F1&amp;"kg x 2.5mg"</f>
        <v>0kg x 2.5mg</v>
      </c>
      <c r="D60" s="260"/>
      <c r="E60" s="62">
        <f>F1*2.5</f>
        <v>0</v>
      </c>
      <c r="F60" s="63" t="s">
        <v>29</v>
      </c>
      <c r="G60" s="260" t="s">
        <v>159</v>
      </c>
      <c r="H60" s="260"/>
      <c r="I60" s="260"/>
      <c r="J60" s="277"/>
      <c r="K60" s="61"/>
      <c r="L60" s="271"/>
      <c r="M60" s="272"/>
      <c r="N60" s="272"/>
      <c r="O60" s="272"/>
      <c r="P60" s="273"/>
    </row>
    <row r="61" spans="1:16" s="29" customFormat="1" ht="12.25" customHeight="1" thickBot="1">
      <c r="A61" s="259" t="s">
        <v>46</v>
      </c>
      <c r="B61" s="260"/>
      <c r="C61" s="260" t="str">
        <f>F1&amp;"kg x 10-20mL"</f>
        <v>0kg x 10-20mL</v>
      </c>
      <c r="D61" s="260"/>
      <c r="E61" s="62" t="str">
        <f>(10*F1)&amp;"-"&amp;(20*F1)</f>
        <v>0-0</v>
      </c>
      <c r="F61" s="63" t="s">
        <v>87</v>
      </c>
      <c r="G61" s="260" t="s">
        <v>94</v>
      </c>
      <c r="H61" s="260"/>
      <c r="I61" s="260"/>
      <c r="J61" s="277"/>
      <c r="K61" s="61"/>
      <c r="L61" s="274"/>
      <c r="M61" s="275"/>
      <c r="N61" s="275"/>
      <c r="O61" s="275"/>
      <c r="P61" s="276"/>
    </row>
    <row r="62" spans="1:16" s="29" customFormat="1" ht="12.25" customHeight="1" thickBot="1">
      <c r="A62" s="256" t="s">
        <v>138</v>
      </c>
      <c r="B62" s="257"/>
      <c r="C62" s="257" t="str">
        <f>F1&amp;"kg x 10-20mL"</f>
        <v>0kg x 10-20mL</v>
      </c>
      <c r="D62" s="257"/>
      <c r="E62" s="64" t="str">
        <f>(10*F1)&amp;"-"&amp;(20*F1)</f>
        <v>0-0</v>
      </c>
      <c r="F62" s="65" t="s">
        <v>87</v>
      </c>
      <c r="G62" s="257" t="s">
        <v>94</v>
      </c>
      <c r="H62" s="257"/>
      <c r="I62" s="257"/>
      <c r="J62" s="258"/>
      <c r="K62" s="61"/>
      <c r="L62" s="61"/>
      <c r="M62" s="61"/>
      <c r="N62" s="61"/>
      <c r="O62" s="61"/>
      <c r="P62" s="61"/>
    </row>
    <row r="63" spans="1:16" s="29" customFormat="1" ht="12.25" customHeight="1">
      <c r="A63" s="61"/>
      <c r="B63" s="61"/>
      <c r="C63" s="61"/>
      <c r="D63" s="61"/>
      <c r="E63" s="61"/>
      <c r="F63" s="61"/>
      <c r="G63" s="61"/>
      <c r="H63" s="61"/>
      <c r="I63" s="61"/>
      <c r="J63" s="61"/>
      <c r="K63" s="61"/>
      <c r="L63" s="61"/>
      <c r="M63" s="61"/>
      <c r="N63" s="61"/>
      <c r="O63" s="61"/>
      <c r="P63" s="61"/>
    </row>
    <row r="64" spans="1:16" s="29" customFormat="1" customHeight="1">
      <c r="A64" s="131" t="s">
        <v>72</v>
      </c>
      <c r="B64" s="131"/>
      <c r="C64" s="131"/>
      <c r="D64" s="131"/>
      <c r="E64" s="131"/>
      <c r="F64" s="131"/>
      <c r="G64" s="131"/>
      <c r="H64" s="131"/>
      <c r="I64" s="131"/>
      <c r="J64" s="131"/>
      <c r="K64" s="131"/>
      <c r="L64" s="131"/>
      <c r="M64" s="131"/>
      <c r="N64" s="131"/>
      <c r="O64" s="131"/>
      <c r="P64" s="131"/>
    </row>
    <row r="65" spans="1:16" s="30" customFormat="1" customHeight="1">
      <c r="A65" s="148" t="s">
        <v>105</v>
      </c>
      <c r="B65" s="149"/>
      <c r="C65" s="149"/>
      <c r="D65" s="149"/>
      <c r="E65" s="149"/>
      <c r="F65" s="149"/>
      <c r="G65" s="149"/>
      <c r="H65" s="149"/>
      <c r="I65" s="149"/>
      <c r="J65" s="149"/>
      <c r="K65" s="149"/>
      <c r="L65" s="149"/>
      <c r="M65" s="149"/>
      <c r="N65" s="149"/>
      <c r="O65" s="149"/>
      <c r="P65" s="150"/>
    </row>
    <row r="66" spans="1:16" s="30" customFormat="1" customHeight="1">
      <c r="A66" s="151" t="s">
        <v>81</v>
      </c>
      <c r="B66" s="152"/>
      <c r="C66" s="152"/>
      <c r="D66" s="152"/>
      <c r="E66" s="152"/>
      <c r="F66" s="152"/>
      <c r="G66" s="152"/>
      <c r="H66" s="152"/>
      <c r="I66" s="152"/>
      <c r="J66" s="152"/>
      <c r="K66" s="152"/>
      <c r="L66" s="152"/>
      <c r="M66" s="152"/>
      <c r="N66" s="152"/>
      <c r="O66" s="152"/>
      <c r="P66" s="153"/>
    </row>
    <row r="67" spans="1:16" s="30" customFormat="1" customHeight="1">
      <c r="A67" s="156" t="s">
        <v>211</v>
      </c>
      <c r="B67" s="157"/>
      <c r="C67" s="157"/>
      <c r="D67" s="157"/>
      <c r="E67" s="157"/>
      <c r="F67" s="157"/>
      <c r="G67" s="157"/>
      <c r="H67" s="157"/>
      <c r="I67" s="157"/>
      <c r="J67" s="157"/>
      <c r="K67" s="157"/>
      <c r="L67" s="157"/>
      <c r="M67" s="157"/>
      <c r="N67" s="157"/>
      <c r="O67" s="157"/>
      <c r="P67" s="158"/>
    </row>
    <row r="68" spans="1:16" s="30" customFormat="1" customHeight="1">
      <c r="A68" s="154"/>
      <c r="B68" s="68"/>
      <c r="C68" s="68"/>
      <c r="D68" s="68"/>
      <c r="E68" s="68"/>
      <c r="F68" s="68"/>
      <c r="G68" s="68"/>
      <c r="H68" s="68"/>
      <c r="I68" s="68"/>
      <c r="J68" s="68"/>
      <c r="K68" s="68"/>
      <c r="L68" s="68"/>
      <c r="M68" s="68"/>
      <c r="N68" s="68"/>
      <c r="O68" s="68"/>
      <c r="P68" s="155"/>
    </row>
    <row r="69" spans="1:16" s="30" customFormat="1" customHeight="1">
      <c r="A69" s="159" t="s">
        <v>82</v>
      </c>
      <c r="B69" s="160"/>
      <c r="C69" s="160"/>
      <c r="D69" s="160"/>
      <c r="E69" s="160"/>
      <c r="F69" s="160"/>
      <c r="G69" s="160"/>
      <c r="H69" s="160"/>
      <c r="I69" s="160"/>
      <c r="J69" s="160"/>
      <c r="K69" s="160"/>
      <c r="L69" s="160"/>
      <c r="M69" s="160"/>
      <c r="N69" s="160"/>
      <c r="O69" s="160"/>
      <c r="P69" s="161"/>
    </row>
    <row r="70" spans="1:16" s="30" customFormat="1" customHeight="1">
      <c r="A70" s="154" t="s">
        <v>107</v>
      </c>
      <c r="B70" s="68"/>
      <c r="C70" s="68"/>
      <c r="D70" s="68"/>
      <c r="E70" s="68"/>
      <c r="F70" s="68"/>
      <c r="G70" s="68"/>
      <c r="H70" s="68"/>
      <c r="I70" s="68"/>
      <c r="J70" s="68"/>
      <c r="K70" s="68"/>
      <c r="L70" s="68"/>
      <c r="M70" s="68"/>
      <c r="N70" s="68"/>
      <c r="O70" s="68"/>
      <c r="P70" s="155"/>
    </row>
    <row r="71" spans="1:16" s="30" customFormat="1" customHeight="1">
      <c r="A71" s="159" t="s">
        <v>83</v>
      </c>
      <c r="B71" s="160"/>
      <c r="C71" s="160"/>
      <c r="D71" s="160"/>
      <c r="E71" s="160"/>
      <c r="F71" s="160"/>
      <c r="G71" s="160"/>
      <c r="H71" s="160"/>
      <c r="I71" s="160"/>
      <c r="J71" s="160"/>
      <c r="K71" s="160"/>
      <c r="L71" s="160"/>
      <c r="M71" s="160"/>
      <c r="N71" s="160"/>
      <c r="O71" s="160"/>
      <c r="P71" s="161"/>
    </row>
    <row r="72" spans="1:16" s="29" customFormat="1" customHeight="1">
      <c r="A72" s="156" t="s">
        <v>180</v>
      </c>
      <c r="B72" s="157"/>
      <c r="C72" s="157"/>
      <c r="D72" s="157"/>
      <c r="E72" s="157"/>
      <c r="F72" s="157"/>
      <c r="G72" s="157"/>
      <c r="H72" s="157"/>
      <c r="I72" s="157"/>
      <c r="J72" s="157"/>
      <c r="K72" s="157"/>
      <c r="L72" s="157"/>
      <c r="M72" s="157"/>
      <c r="N72" s="157"/>
      <c r="O72" s="157"/>
      <c r="P72" s="158"/>
    </row>
    <row r="73" spans="1:16" s="29" customFormat="1" customHeight="1">
      <c r="A73" s="145" t="s">
        <v>181</v>
      </c>
      <c r="B73" s="146"/>
      <c r="C73" s="146"/>
      <c r="D73" s="146"/>
      <c r="E73" s="146"/>
      <c r="F73" s="77">
        <f>F1</f>
        <v>0</v>
      </c>
      <c r="G73" s="69" t="s">
        <v>95</v>
      </c>
      <c r="H73" s="66" t="s">
        <v>85</v>
      </c>
      <c r="I73" s="67">
        <f>F1*0.4</f>
        <v>0</v>
      </c>
      <c r="J73" s="68" t="s">
        <v>96</v>
      </c>
      <c r="K73" s="69"/>
      <c r="L73" s="69"/>
      <c r="M73" s="69"/>
      <c r="N73" s="69"/>
      <c r="O73" s="69"/>
      <c r="P73" s="70"/>
    </row>
    <row r="74" spans="1:16" s="29" customFormat="1" customHeight="1">
      <c r="A74" s="159" t="s">
        <v>84</v>
      </c>
      <c r="B74" s="160"/>
      <c r="C74" s="160"/>
      <c r="D74" s="160"/>
      <c r="E74" s="160"/>
      <c r="F74" s="160"/>
      <c r="G74" s="160"/>
      <c r="H74" s="160"/>
      <c r="I74" s="160"/>
      <c r="J74" s="160"/>
      <c r="K74" s="160"/>
      <c r="L74" s="160"/>
      <c r="M74" s="160"/>
      <c r="N74" s="160"/>
      <c r="O74" s="160"/>
      <c r="P74" s="161"/>
    </row>
    <row r="75" spans="1:16" s="29" customFormat="1" customHeight="1">
      <c r="A75" s="156" t="s">
        <v>109</v>
      </c>
      <c r="B75" s="157"/>
      <c r="C75" s="157"/>
      <c r="D75" s="157"/>
      <c r="E75" s="157"/>
      <c r="F75" s="157"/>
      <c r="G75" s="157"/>
      <c r="H75" s="157"/>
      <c r="I75" s="157"/>
      <c r="J75" s="157"/>
      <c r="K75" s="157"/>
      <c r="L75" s="157"/>
      <c r="M75" s="157"/>
      <c r="N75" s="157"/>
      <c r="O75" s="157"/>
      <c r="P75" s="158"/>
    </row>
    <row r="76" spans="1:16" s="29" customFormat="1" customHeight="1">
      <c r="A76" s="156" t="s">
        <v>108</v>
      </c>
      <c r="B76" s="157"/>
      <c r="C76" s="157"/>
      <c r="D76" s="157"/>
      <c r="E76" s="157"/>
      <c r="F76" s="157"/>
      <c r="G76" s="157"/>
      <c r="H76" s="157"/>
      <c r="I76" s="157"/>
      <c r="J76" s="157"/>
      <c r="K76" s="157"/>
      <c r="L76" s="157"/>
      <c r="M76" s="157"/>
      <c r="N76" s="157"/>
      <c r="O76" s="157"/>
      <c r="P76" s="158"/>
    </row>
    <row r="77" spans="1:16" s="29" customFormat="1" customHeight="1">
      <c r="A77" s="154" t="s">
        <v>110</v>
      </c>
      <c r="B77" s="68"/>
      <c r="C77" s="68"/>
      <c r="D77" s="68"/>
      <c r="E77" s="68"/>
      <c r="F77" s="68"/>
      <c r="G77" s="68"/>
      <c r="H77" s="68"/>
      <c r="I77" s="68"/>
      <c r="J77" s="68"/>
      <c r="K77" s="68"/>
      <c r="L77" s="68"/>
      <c r="M77" s="68"/>
      <c r="N77" s="68"/>
      <c r="O77" s="68"/>
      <c r="P77" s="155"/>
    </row>
    <row r="78" spans="1:16" s="29" customFormat="1" ht="12.25" customHeight="1">
      <c r="A78" s="162" t="s">
        <v>121</v>
      </c>
      <c r="B78" s="162"/>
      <c r="C78" s="162" t="s">
        <v>50</v>
      </c>
      <c r="D78" s="162"/>
      <c r="E78" s="162" t="s">
        <v>67</v>
      </c>
      <c r="F78" s="162"/>
      <c r="G78" s="71" t="s">
        <v>66</v>
      </c>
      <c r="H78" s="163" t="s">
        <v>40</v>
      </c>
      <c r="I78" s="164"/>
      <c r="J78" s="165"/>
      <c r="K78" s="132" t="s">
        <v>33</v>
      </c>
      <c r="L78" s="133"/>
      <c r="M78" s="133"/>
      <c r="N78" s="133"/>
      <c r="O78" s="133"/>
      <c r="P78" s="134"/>
    </row>
    <row r="79" spans="1:16" s="30" customFormat="1" ht="12.25" customHeight="1">
      <c r="A79" s="137" t="s">
        <v>120</v>
      </c>
      <c r="B79" s="138"/>
      <c r="C79" s="135" t="s">
        <v>182</v>
      </c>
      <c r="D79" s="136"/>
      <c r="E79" s="135" t="s">
        <v>183</v>
      </c>
      <c r="F79" s="136"/>
      <c r="G79" s="82" t="s">
        <v>97</v>
      </c>
      <c r="H79" s="135" t="s">
        <v>184</v>
      </c>
      <c r="I79" s="141"/>
      <c r="J79" s="136"/>
      <c r="K79" s="142" t="s">
        <v>218</v>
      </c>
      <c r="L79" s="143"/>
      <c r="M79" s="143"/>
      <c r="N79" s="143"/>
      <c r="O79" s="143"/>
      <c r="P79" s="144"/>
    </row>
    <row r="80" spans="1:16" s="30" customFormat="1" ht="12.25" customHeight="1">
      <c r="A80" s="139"/>
      <c r="B80" s="140"/>
      <c r="C80" s="135" t="s">
        <v>185</v>
      </c>
      <c r="D80" s="136"/>
      <c r="E80" s="135" t="s">
        <v>186</v>
      </c>
      <c r="F80" s="136"/>
      <c r="G80" s="82" t="s">
        <v>97</v>
      </c>
      <c r="H80" s="135" t="s">
        <v>187</v>
      </c>
      <c r="I80" s="141"/>
      <c r="J80" s="136"/>
      <c r="K80" s="145"/>
      <c r="L80" s="146"/>
      <c r="M80" s="146"/>
      <c r="N80" s="146"/>
      <c r="O80" s="146"/>
      <c r="P80" s="147"/>
    </row>
    <row r="81" spans="1:16" s="30" customFormat="1" ht="12.25" customHeight="1">
      <c r="A81" s="142" t="s">
        <v>140</v>
      </c>
      <c r="B81" s="144"/>
      <c r="C81" s="135" t="s">
        <v>212</v>
      </c>
      <c r="D81" s="136"/>
      <c r="E81" s="135" t="s">
        <v>111</v>
      </c>
      <c r="F81" s="136"/>
      <c r="G81" s="82" t="s">
        <v>97</v>
      </c>
      <c r="H81" s="135" t="s">
        <v>213</v>
      </c>
      <c r="I81" s="141"/>
      <c r="J81" s="136"/>
      <c r="K81" s="142" t="s">
        <v>219</v>
      </c>
      <c r="L81" s="143"/>
      <c r="M81" s="143"/>
      <c r="N81" s="143"/>
      <c r="O81" s="143"/>
      <c r="P81" s="144"/>
    </row>
    <row r="82" spans="1:16" s="30" customFormat="1" ht="12.25" customHeight="1">
      <c r="A82" s="145"/>
      <c r="B82" s="147"/>
      <c r="C82" s="135" t="s">
        <v>214</v>
      </c>
      <c r="D82" s="136"/>
      <c r="E82" s="135" t="s">
        <v>215</v>
      </c>
      <c r="F82" s="136"/>
      <c r="G82" s="82" t="s">
        <v>97</v>
      </c>
      <c r="H82" s="135" t="s">
        <v>216</v>
      </c>
      <c r="I82" s="141"/>
      <c r="J82" s="136"/>
      <c r="K82" s="145"/>
      <c r="L82" s="146"/>
      <c r="M82" s="146"/>
      <c r="N82" s="146"/>
      <c r="O82" s="146"/>
      <c r="P82" s="147"/>
    </row>
    <row r="83" spans="1:16" ht="12.25" customHeight="1">
      <c r="A83" s="83" t="s">
        <v>130</v>
      </c>
      <c r="B83" s="83"/>
      <c r="C83" s="128" t="s">
        <v>98</v>
      </c>
      <c r="D83" s="129"/>
      <c r="E83" s="83" t="s">
        <v>68</v>
      </c>
      <c r="F83" s="83"/>
      <c r="G83" s="83" t="s">
        <v>99</v>
      </c>
      <c r="H83" s="128" t="s">
        <v>188</v>
      </c>
      <c r="I83" s="130"/>
      <c r="J83" s="129"/>
      <c r="K83" s="118" t="s">
        <v>116</v>
      </c>
      <c r="L83" s="119"/>
      <c r="M83" s="119"/>
      <c r="N83" s="119"/>
      <c r="O83" s="119"/>
      <c r="P83" s="120"/>
    </row>
    <row r="84" spans="1:16" ht="12" customHeight="1">
      <c r="A84" s="83"/>
      <c r="B84" s="83"/>
      <c r="C84" s="128" t="s">
        <v>100</v>
      </c>
      <c r="D84" s="129"/>
      <c r="E84" s="128" t="s">
        <v>69</v>
      </c>
      <c r="F84" s="129"/>
      <c r="G84" s="83" t="s">
        <v>99</v>
      </c>
      <c r="H84" s="128" t="s">
        <v>189</v>
      </c>
      <c r="I84" s="130"/>
      <c r="J84" s="129"/>
      <c r="K84" s="121"/>
      <c r="L84" s="122"/>
      <c r="M84" s="122"/>
      <c r="N84" s="122"/>
      <c r="O84" s="122"/>
      <c r="P84" s="123"/>
    </row>
    <row r="85" spans="1:16" ht="12" customHeight="1">
      <c r="A85" s="83" t="s">
        <v>141</v>
      </c>
      <c r="B85" s="83"/>
      <c r="C85" s="118" t="s">
        <v>190</v>
      </c>
      <c r="D85" s="120"/>
      <c r="E85" s="118" t="s">
        <v>191</v>
      </c>
      <c r="F85" s="120"/>
      <c r="G85" s="84" t="s">
        <v>99</v>
      </c>
      <c r="H85" s="118" t="s">
        <v>151</v>
      </c>
      <c r="I85" s="119"/>
      <c r="J85" s="120"/>
      <c r="K85" s="118" t="s">
        <v>156</v>
      </c>
      <c r="L85" s="119"/>
      <c r="M85" s="119"/>
      <c r="N85" s="119"/>
      <c r="O85" s="119"/>
      <c r="P85" s="120"/>
    </row>
    <row r="86" spans="1:16" ht="24.75" customHeight="1">
      <c r="A86" s="83"/>
      <c r="B86" s="83"/>
      <c r="C86" s="121"/>
      <c r="D86" s="123"/>
      <c r="E86" s="121"/>
      <c r="F86" s="123"/>
      <c r="G86" s="166"/>
      <c r="H86" s="121"/>
      <c r="I86" s="122"/>
      <c r="J86" s="123"/>
      <c r="K86" s="121"/>
      <c r="L86" s="122"/>
      <c r="M86" s="122"/>
      <c r="N86" s="122"/>
      <c r="O86" s="122"/>
      <c r="P86" s="123"/>
    </row>
    <row r="87" spans="1:16" ht="12" customHeight="1">
      <c r="A87" s="83" t="s">
        <v>142</v>
      </c>
      <c r="B87" s="83"/>
      <c r="C87" s="128" t="s">
        <v>101</v>
      </c>
      <c r="D87" s="129"/>
      <c r="E87" s="83" t="s">
        <v>73</v>
      </c>
      <c r="F87" s="83"/>
      <c r="G87" s="83" t="s">
        <v>97</v>
      </c>
      <c r="H87" s="128" t="s">
        <v>192</v>
      </c>
      <c r="I87" s="130"/>
      <c r="J87" s="129"/>
      <c r="K87" s="118" t="s">
        <v>219</v>
      </c>
      <c r="L87" s="119"/>
      <c r="M87" s="119"/>
      <c r="N87" s="119"/>
      <c r="O87" s="119"/>
      <c r="P87" s="120"/>
    </row>
    <row r="88" spans="1:16" ht="12">
      <c r="A88" s="83"/>
      <c r="B88" s="83"/>
      <c r="C88" s="128" t="s">
        <v>102</v>
      </c>
      <c r="D88" s="129"/>
      <c r="E88" s="128" t="s">
        <v>74</v>
      </c>
      <c r="F88" s="129"/>
      <c r="G88" s="83" t="s">
        <v>97</v>
      </c>
      <c r="H88" s="128" t="s">
        <v>193</v>
      </c>
      <c r="I88" s="130"/>
      <c r="J88" s="129"/>
      <c r="K88" s="121"/>
      <c r="L88" s="122"/>
      <c r="M88" s="122"/>
      <c r="N88" s="122"/>
      <c r="O88" s="122"/>
      <c r="P88" s="123"/>
    </row>
    <row r="89" spans="1:16" ht="12">
      <c r="A89" s="83" t="s">
        <v>143</v>
      </c>
      <c r="B89" s="83"/>
      <c r="C89" s="128" t="s">
        <v>101</v>
      </c>
      <c r="D89" s="129"/>
      <c r="E89" s="83" t="s">
        <v>73</v>
      </c>
      <c r="F89" s="83"/>
      <c r="G89" s="83" t="s">
        <v>97</v>
      </c>
      <c r="H89" s="128" t="s">
        <v>192</v>
      </c>
      <c r="I89" s="130"/>
      <c r="J89" s="129"/>
      <c r="K89" s="118" t="s">
        <v>220</v>
      </c>
      <c r="L89" s="119"/>
      <c r="M89" s="119"/>
      <c r="N89" s="119"/>
      <c r="O89" s="119"/>
      <c r="P89" s="120"/>
    </row>
    <row r="90" spans="1:16" ht="12">
      <c r="A90" s="83"/>
      <c r="B90" s="83"/>
      <c r="C90" s="128" t="s">
        <v>102</v>
      </c>
      <c r="D90" s="129"/>
      <c r="E90" s="128" t="s">
        <v>74</v>
      </c>
      <c r="F90" s="129"/>
      <c r="G90" s="83" t="s">
        <v>97</v>
      </c>
      <c r="H90" s="128" t="s">
        <v>193</v>
      </c>
      <c r="I90" s="130"/>
      <c r="J90" s="129"/>
      <c r="K90" s="121"/>
      <c r="L90" s="122"/>
      <c r="M90" s="122"/>
      <c r="N90" s="122"/>
      <c r="O90" s="122"/>
      <c r="P90" s="123"/>
    </row>
    <row r="91" spans="1:16" ht="12" customHeight="1">
      <c r="A91" s="118" t="s">
        <v>144</v>
      </c>
      <c r="B91" s="120"/>
      <c r="C91" s="118" t="s">
        <v>194</v>
      </c>
      <c r="D91" s="120"/>
      <c r="E91" s="118" t="s">
        <v>112</v>
      </c>
      <c r="F91" s="120"/>
      <c r="G91" s="84" t="s">
        <v>113</v>
      </c>
      <c r="H91" s="118" t="s">
        <v>195</v>
      </c>
      <c r="I91" s="119"/>
      <c r="J91" s="120"/>
      <c r="K91" s="118" t="s">
        <v>148</v>
      </c>
      <c r="L91" s="119"/>
      <c r="M91" s="119"/>
      <c r="N91" s="119"/>
      <c r="O91" s="119"/>
      <c r="P91" s="120"/>
    </row>
    <row r="92" spans="1:16" ht="12" customHeight="1">
      <c r="A92" s="121"/>
      <c r="B92" s="123"/>
      <c r="C92" s="121"/>
      <c r="D92" s="123"/>
      <c r="E92" s="121"/>
      <c r="F92" s="123"/>
      <c r="G92" s="166"/>
      <c r="H92" s="121"/>
      <c r="I92" s="122"/>
      <c r="J92" s="123"/>
      <c r="K92" s="121"/>
      <c r="L92" s="122"/>
      <c r="M92" s="122"/>
      <c r="N92" s="122"/>
      <c r="O92" s="122"/>
      <c r="P92" s="123"/>
    </row>
    <row r="93" spans="1:16" ht="12" customHeight="1">
      <c r="A93" s="118" t="s">
        <v>145</v>
      </c>
      <c r="B93" s="120"/>
      <c r="C93" s="128" t="s">
        <v>182</v>
      </c>
      <c r="D93" s="129"/>
      <c r="E93" s="128" t="s">
        <v>183</v>
      </c>
      <c r="F93" s="129"/>
      <c r="G93" s="83" t="s">
        <v>97</v>
      </c>
      <c r="H93" s="128" t="s">
        <v>196</v>
      </c>
      <c r="I93" s="130"/>
      <c r="J93" s="129"/>
      <c r="K93" s="167" t="s">
        <v>221</v>
      </c>
      <c r="L93" s="119"/>
      <c r="M93" s="119"/>
      <c r="N93" s="119"/>
      <c r="O93" s="119"/>
      <c r="P93" s="120"/>
    </row>
    <row r="94" spans="1:16" ht="12" customHeight="1">
      <c r="A94" s="121"/>
      <c r="B94" s="123"/>
      <c r="C94" s="128" t="s">
        <v>185</v>
      </c>
      <c r="D94" s="129"/>
      <c r="E94" s="128" t="s">
        <v>186</v>
      </c>
      <c r="F94" s="129"/>
      <c r="G94" s="83" t="s">
        <v>97</v>
      </c>
      <c r="H94" s="128" t="s">
        <v>197</v>
      </c>
      <c r="I94" s="130"/>
      <c r="J94" s="129"/>
      <c r="K94" s="121"/>
      <c r="L94" s="122"/>
      <c r="M94" s="122"/>
      <c r="N94" s="122"/>
      <c r="O94" s="122"/>
      <c r="P94" s="123"/>
    </row>
    <row r="95" spans="1:16" ht="12">
      <c r="A95" s="83" t="s">
        <v>128</v>
      </c>
      <c r="B95" s="83"/>
      <c r="C95" s="128" t="s">
        <v>198</v>
      </c>
      <c r="D95" s="129"/>
      <c r="E95" s="83" t="s">
        <v>76</v>
      </c>
      <c r="F95" s="83"/>
      <c r="G95" s="83" t="s">
        <v>99</v>
      </c>
      <c r="H95" s="128" t="s">
        <v>199</v>
      </c>
      <c r="I95" s="130"/>
      <c r="J95" s="129"/>
      <c r="K95" s="118" t="s">
        <v>157</v>
      </c>
      <c r="L95" s="119"/>
      <c r="M95" s="119"/>
      <c r="N95" s="119"/>
      <c r="O95" s="119"/>
      <c r="P95" s="120"/>
    </row>
    <row r="96" spans="1:16" ht="12">
      <c r="A96" s="83"/>
      <c r="B96" s="83"/>
      <c r="C96" s="128" t="s">
        <v>200</v>
      </c>
      <c r="D96" s="129"/>
      <c r="E96" s="128" t="s">
        <v>77</v>
      </c>
      <c r="F96" s="129"/>
      <c r="G96" s="83" t="s">
        <v>99</v>
      </c>
      <c r="H96" s="128" t="s">
        <v>201</v>
      </c>
      <c r="I96" s="130"/>
      <c r="J96" s="129"/>
      <c r="K96" s="121"/>
      <c r="L96" s="122"/>
      <c r="M96" s="122"/>
      <c r="N96" s="122"/>
      <c r="O96" s="122"/>
      <c r="P96" s="123"/>
    </row>
    <row r="97" spans="1:16" ht="12.25" customHeight="1">
      <c r="A97" s="83" t="s">
        <v>146</v>
      </c>
      <c r="B97" s="83"/>
      <c r="C97" s="118" t="s">
        <v>202</v>
      </c>
      <c r="D97" s="120"/>
      <c r="E97" s="118" t="s">
        <v>75</v>
      </c>
      <c r="F97" s="120"/>
      <c r="G97" s="84" t="s">
        <v>97</v>
      </c>
      <c r="H97" s="118" t="s">
        <v>203</v>
      </c>
      <c r="I97" s="119"/>
      <c r="J97" s="120"/>
      <c r="K97" s="118" t="s">
        <v>158</v>
      </c>
      <c r="L97" s="119"/>
      <c r="M97" s="119"/>
      <c r="N97" s="119"/>
      <c r="O97" s="119"/>
      <c r="P97" s="120"/>
    </row>
    <row r="98" spans="1:16" ht="12">
      <c r="A98" s="83" t="s">
        <v>127</v>
      </c>
      <c r="B98" s="83"/>
      <c r="C98" s="83" t="s">
        <v>204</v>
      </c>
      <c r="D98" s="83"/>
      <c r="E98" s="83" t="s">
        <v>78</v>
      </c>
      <c r="F98" s="83"/>
      <c r="G98" s="83" t="s">
        <v>99</v>
      </c>
      <c r="H98" s="128" t="s">
        <v>205</v>
      </c>
      <c r="I98" s="130"/>
      <c r="J98" s="129"/>
      <c r="K98" s="118" t="s">
        <v>158</v>
      </c>
      <c r="L98" s="119"/>
      <c r="M98" s="119"/>
      <c r="N98" s="119"/>
      <c r="O98" s="119"/>
      <c r="P98" s="120"/>
    </row>
    <row r="99" spans="1:16" ht="12">
      <c r="A99" s="83"/>
      <c r="B99" s="83"/>
      <c r="C99" s="83" t="s">
        <v>206</v>
      </c>
      <c r="D99" s="83"/>
      <c r="E99" s="83" t="s">
        <v>79</v>
      </c>
      <c r="F99" s="83"/>
      <c r="G99" s="83" t="s">
        <v>99</v>
      </c>
      <c r="H99" s="128" t="s">
        <v>207</v>
      </c>
      <c r="I99" s="130"/>
      <c r="J99" s="129"/>
      <c r="K99" s="121"/>
      <c r="L99" s="122"/>
      <c r="M99" s="122"/>
      <c r="N99" s="122"/>
      <c r="O99" s="122"/>
      <c r="P99" s="123"/>
    </row>
    <row r="100" spans="1:16" ht="12.25" customHeight="1">
      <c r="A100" s="83" t="s">
        <v>147</v>
      </c>
      <c r="B100" s="83"/>
      <c r="C100" s="128" t="s">
        <v>182</v>
      </c>
      <c r="D100" s="129"/>
      <c r="E100" s="128" t="s">
        <v>183</v>
      </c>
      <c r="F100" s="129"/>
      <c r="G100" s="83" t="s">
        <v>97</v>
      </c>
      <c r="H100" s="128" t="s">
        <v>208</v>
      </c>
      <c r="I100" s="130"/>
      <c r="J100" s="129"/>
      <c r="K100" s="118" t="s">
        <v>222</v>
      </c>
      <c r="L100" s="119"/>
      <c r="M100" s="119"/>
      <c r="N100" s="119"/>
      <c r="O100" s="119"/>
      <c r="P100" s="120"/>
    </row>
    <row r="101" spans="1:16" ht="12">
      <c r="A101" s="83"/>
      <c r="B101" s="83"/>
      <c r="C101" s="128" t="s">
        <v>185</v>
      </c>
      <c r="D101" s="129"/>
      <c r="E101" s="128" t="s">
        <v>186</v>
      </c>
      <c r="F101" s="129"/>
      <c r="G101" s="83" t="s">
        <v>97</v>
      </c>
      <c r="H101" s="128" t="s">
        <v>187</v>
      </c>
      <c r="I101" s="130"/>
      <c r="J101" s="129"/>
      <c r="K101" s="121"/>
      <c r="L101" s="122"/>
      <c r="M101" s="122"/>
      <c r="N101" s="122"/>
      <c r="O101" s="122"/>
      <c r="P101" s="123"/>
    </row>
    <row r="102" spans="1:16" ht="12.25" customHeight="1">
      <c r="A102" s="83" t="s">
        <v>131</v>
      </c>
      <c r="B102" s="83"/>
      <c r="C102" s="128" t="s">
        <v>98</v>
      </c>
      <c r="D102" s="129"/>
      <c r="E102" s="128" t="s">
        <v>68</v>
      </c>
      <c r="F102" s="129"/>
      <c r="G102" s="83" t="s">
        <v>99</v>
      </c>
      <c r="H102" s="128" t="s">
        <v>118</v>
      </c>
      <c r="I102" s="130"/>
      <c r="J102" s="129"/>
      <c r="K102" s="118" t="s">
        <v>158</v>
      </c>
      <c r="L102" s="119"/>
      <c r="M102" s="119"/>
      <c r="N102" s="119"/>
      <c r="O102" s="119"/>
      <c r="P102" s="120"/>
    </row>
    <row r="103" spans="1:16" ht="12">
      <c r="A103" s="83"/>
      <c r="B103" s="83"/>
      <c r="C103" s="128" t="s">
        <v>103</v>
      </c>
      <c r="D103" s="129"/>
      <c r="E103" s="128" t="s">
        <v>80</v>
      </c>
      <c r="F103" s="129"/>
      <c r="G103" s="83" t="s">
        <v>99</v>
      </c>
      <c r="H103" s="128" t="s">
        <v>119</v>
      </c>
      <c r="I103" s="130"/>
      <c r="J103" s="129"/>
      <c r="K103" s="121"/>
      <c r="L103" s="122"/>
      <c r="M103" s="122"/>
      <c r="N103" s="122"/>
      <c r="O103" s="122"/>
      <c r="P103" s="123"/>
    </row>
    <row r="104" spans="1:16" ht="12">
      <c r="A104" s="83" t="s">
        <v>129</v>
      </c>
      <c r="B104" s="83"/>
      <c r="C104" s="83" t="s">
        <v>104</v>
      </c>
      <c r="D104" s="83"/>
      <c r="E104" s="128" t="s">
        <v>76</v>
      </c>
      <c r="F104" s="129"/>
      <c r="G104" s="83" t="s">
        <v>99</v>
      </c>
      <c r="H104" s="128" t="s">
        <v>209</v>
      </c>
      <c r="I104" s="130"/>
      <c r="J104" s="129"/>
      <c r="K104" s="118" t="s">
        <v>114</v>
      </c>
      <c r="L104" s="119"/>
      <c r="M104" s="119"/>
      <c r="N104" s="119"/>
      <c r="O104" s="119"/>
      <c r="P104" s="120"/>
    </row>
    <row r="105" spans="1:16" ht="12">
      <c r="A105" s="83"/>
      <c r="B105" s="83"/>
      <c r="C105" s="83" t="s">
        <v>101</v>
      </c>
      <c r="D105" s="83"/>
      <c r="E105" s="128" t="s">
        <v>73</v>
      </c>
      <c r="F105" s="129"/>
      <c r="G105" s="83" t="s">
        <v>97</v>
      </c>
      <c r="H105" s="128" t="s">
        <v>210</v>
      </c>
      <c r="I105" s="130"/>
      <c r="J105" s="129"/>
      <c r="K105" s="121"/>
      <c r="L105" s="122"/>
      <c r="M105" s="122"/>
      <c r="N105" s="122"/>
      <c r="O105" s="122"/>
      <c r="P105" s="123"/>
    </row>
    <row r="106" spans="1:16" ht="2.9" customHeight="1">
      <c r="A106" s="72"/>
      <c r="B106" s="72"/>
      <c r="C106" s="72"/>
      <c r="D106" s="72"/>
      <c r="E106" s="72"/>
      <c r="F106" s="72"/>
      <c r="G106" s="72"/>
      <c r="H106" s="72"/>
      <c r="I106" s="72"/>
      <c r="J106" s="72"/>
      <c r="K106" s="72"/>
      <c r="L106" s="72"/>
      <c r="M106" s="72"/>
      <c r="N106" s="72"/>
      <c r="O106" s="72"/>
      <c r="P106" s="72"/>
    </row>
    <row r="107" spans="1:16" ht="11.25" customHeight="1">
      <c r="A107" s="87" t="s">
        <v>217</v>
      </c>
      <c r="B107" s="87"/>
      <c r="C107" s="87"/>
      <c r="D107" s="87"/>
      <c r="E107" s="87"/>
      <c r="F107" s="87"/>
      <c r="G107" s="87"/>
      <c r="H107" s="87"/>
      <c r="I107" s="87"/>
      <c r="J107" s="87"/>
      <c r="K107" s="87"/>
      <c r="L107" s="87"/>
      <c r="M107" s="87"/>
      <c r="N107" s="87"/>
      <c r="O107" s="87"/>
      <c r="P107" s="87"/>
    </row>
    <row r="108" spans="1:16">
      <c r="A108" s="87"/>
      <c r="B108" s="87"/>
      <c r="C108" s="87"/>
      <c r="D108" s="87"/>
      <c r="E108" s="87"/>
      <c r="F108" s="87"/>
      <c r="G108" s="87"/>
      <c r="H108" s="87"/>
      <c r="I108" s="87"/>
      <c r="J108" s="87"/>
      <c r="K108" s="87"/>
      <c r="L108" s="87"/>
      <c r="M108" s="87"/>
      <c r="N108" s="87"/>
      <c r="O108" s="87"/>
      <c r="P108" s="87"/>
    </row>
    <row r="109" spans="1:16">
      <c r="A109" s="34"/>
      <c r="B109" s="34"/>
      <c r="C109" s="34"/>
      <c r="D109" s="34"/>
      <c r="E109" s="34"/>
      <c r="F109" s="34"/>
      <c r="G109" s="34"/>
      <c r="H109" s="34"/>
      <c r="I109" s="34"/>
      <c r="J109" s="34"/>
      <c r="K109" s="34"/>
      <c r="L109" s="34"/>
      <c r="M109" s="34"/>
      <c r="N109" s="34"/>
      <c r="O109" s="34"/>
      <c r="P109" s="34"/>
    </row>
  </sheetData>
  <sheetProtection algorithmName="SHA-512" hashValue="W9M1u2HfHCswkr8+OXedL+gfnyqX3Gr72ZcXS236eCYPv++WqfUFUk2l1/MHWYYSLKVzA96XS6Eq3HZksQZ9sA==" saltValue="1PoBw9AojQDgpBQuSnUx3g==" spinCount="100000" sheet="1" objects="1" scenarios="1" selectLockedCells="1"/>
  <mergeCells count="304">
    <mergeCell ref="E87:F87"/>
    <mergeCell ref="H87:J87"/>
    <mergeCell ref="C88:D88"/>
    <mergeCell ref="E88:F88"/>
    <mergeCell ref="H88:J88"/>
    <mergeCell ref="K87:P88"/>
    <mergeCell ref="A95:B96"/>
    <mergeCell ref="C95:D95"/>
    <mergeCell ref="E95:F95"/>
    <mergeCell ref="H95:J95"/>
    <mergeCell ref="E96:F96"/>
    <mergeCell ref="K89:P90"/>
    <mergeCell ref="C90:D90"/>
    <mergeCell ref="E90:F90"/>
    <mergeCell ref="H90:J90"/>
    <mergeCell ref="H94:J94"/>
    <mergeCell ref="C94:D94"/>
    <mergeCell ref="E94:F94"/>
    <mergeCell ref="A91:B92"/>
    <mergeCell ref="C91:D92"/>
    <mergeCell ref="E91:F92"/>
    <mergeCell ref="G91:G92"/>
    <mergeCell ref="C89:D89"/>
    <mergeCell ref="E89:F89"/>
    <mergeCell ref="L56:L57"/>
    <mergeCell ref="M56:N57"/>
    <mergeCell ref="O56:O57"/>
    <mergeCell ref="P56:P57"/>
    <mergeCell ref="L58:P61"/>
    <mergeCell ref="A60:B60"/>
    <mergeCell ref="G60:J60"/>
    <mergeCell ref="C60:D60"/>
    <mergeCell ref="A61:B61"/>
    <mergeCell ref="C61:D61"/>
    <mergeCell ref="G61:J61"/>
    <mergeCell ref="A62:B62"/>
    <mergeCell ref="C62:D62"/>
    <mergeCell ref="G62:J62"/>
    <mergeCell ref="A55:B56"/>
    <mergeCell ref="C55:D55"/>
    <mergeCell ref="C56:D56"/>
    <mergeCell ref="E56:F56"/>
    <mergeCell ref="G55:J56"/>
    <mergeCell ref="G57:J59"/>
    <mergeCell ref="E57:E59"/>
    <mergeCell ref="F57:F59"/>
    <mergeCell ref="A57:B59"/>
    <mergeCell ref="C57:D59"/>
    <mergeCell ref="O13:P14"/>
    <mergeCell ref="L15:P17"/>
    <mergeCell ref="L4:P4"/>
    <mergeCell ref="N5:P5"/>
    <mergeCell ref="N6:P6"/>
    <mergeCell ref="L7:N8"/>
    <mergeCell ref="O7:P8"/>
    <mergeCell ref="A53:J53"/>
    <mergeCell ref="A54:B54"/>
    <mergeCell ref="C54:D54"/>
    <mergeCell ref="E54:F54"/>
    <mergeCell ref="G54:J54"/>
    <mergeCell ref="L53:P53"/>
    <mergeCell ref="L54:L55"/>
    <mergeCell ref="M54:N55"/>
    <mergeCell ref="O54:P55"/>
    <mergeCell ref="A44:B45"/>
    <mergeCell ref="G46:J47"/>
    <mergeCell ref="E46:E47"/>
    <mergeCell ref="F46:F47"/>
    <mergeCell ref="C46:D47"/>
    <mergeCell ref="A46:B47"/>
    <mergeCell ref="G44:J45"/>
    <mergeCell ref="E44:E45"/>
    <mergeCell ref="F44:F45"/>
    <mergeCell ref="C44:D45"/>
    <mergeCell ref="G42:J43"/>
    <mergeCell ref="F42:F43"/>
    <mergeCell ref="E42:E43"/>
    <mergeCell ref="C42:D43"/>
    <mergeCell ref="A42:B43"/>
    <mergeCell ref="G40:J41"/>
    <mergeCell ref="F40:F41"/>
    <mergeCell ref="E40:E41"/>
    <mergeCell ref="C40:D41"/>
    <mergeCell ref="A40:B41"/>
    <mergeCell ref="A39:B39"/>
    <mergeCell ref="C39:D39"/>
    <mergeCell ref="G39:J39"/>
    <mergeCell ref="A22:B22"/>
    <mergeCell ref="C22:D22"/>
    <mergeCell ref="G22:J22"/>
    <mergeCell ref="A33:B33"/>
    <mergeCell ref="C33:D33"/>
    <mergeCell ref="G33:J33"/>
    <mergeCell ref="A34:B35"/>
    <mergeCell ref="C34:D35"/>
    <mergeCell ref="E34:E35"/>
    <mergeCell ref="F34:F35"/>
    <mergeCell ref="G34:J35"/>
    <mergeCell ref="A30:B30"/>
    <mergeCell ref="C30:D30"/>
    <mergeCell ref="G30:J30"/>
    <mergeCell ref="A32:B32"/>
    <mergeCell ref="G32:J32"/>
    <mergeCell ref="C32:D32"/>
    <mergeCell ref="A28:B29"/>
    <mergeCell ref="C28:D29"/>
    <mergeCell ref="E28:E29"/>
    <mergeCell ref="F28:F29"/>
    <mergeCell ref="G28:J29"/>
    <mergeCell ref="A26:J26"/>
    <mergeCell ref="A27:B27"/>
    <mergeCell ref="C27:D27"/>
    <mergeCell ref="E27:F27"/>
    <mergeCell ref="G27:J27"/>
    <mergeCell ref="A23:B24"/>
    <mergeCell ref="C23:D24"/>
    <mergeCell ref="E23:E24"/>
    <mergeCell ref="F23:F24"/>
    <mergeCell ref="G23:J24"/>
    <mergeCell ref="A19:B19"/>
    <mergeCell ref="C19:D19"/>
    <mergeCell ref="G19:J19"/>
    <mergeCell ref="A17:J17"/>
    <mergeCell ref="A18:B18"/>
    <mergeCell ref="C18:D18"/>
    <mergeCell ref="E18:F18"/>
    <mergeCell ref="G18:J18"/>
    <mergeCell ref="A20:B21"/>
    <mergeCell ref="C20:D21"/>
    <mergeCell ref="E20:E21"/>
    <mergeCell ref="G20:J21"/>
    <mergeCell ref="F20:F21"/>
    <mergeCell ref="A14:B15"/>
    <mergeCell ref="C14:D15"/>
    <mergeCell ref="E14:E15"/>
    <mergeCell ref="F14:F15"/>
    <mergeCell ref="G14:J15"/>
    <mergeCell ref="A12:B13"/>
    <mergeCell ref="C12:D13"/>
    <mergeCell ref="E12:E13"/>
    <mergeCell ref="F12:F13"/>
    <mergeCell ref="G12:J13"/>
    <mergeCell ref="A6:B6"/>
    <mergeCell ref="C6:D6"/>
    <mergeCell ref="G6:J6"/>
    <mergeCell ref="J1:P2"/>
    <mergeCell ref="D2:E2"/>
    <mergeCell ref="D1:E1"/>
    <mergeCell ref="G8:J9"/>
    <mergeCell ref="A10:B11"/>
    <mergeCell ref="C10:D11"/>
    <mergeCell ref="E10:E11"/>
    <mergeCell ref="F10:F11"/>
    <mergeCell ref="G10:J11"/>
    <mergeCell ref="A8:B9"/>
    <mergeCell ref="C8:D9"/>
    <mergeCell ref="E8:E9"/>
    <mergeCell ref="F8:F9"/>
    <mergeCell ref="L10:P10"/>
    <mergeCell ref="L11:P12"/>
    <mergeCell ref="A48:P48"/>
    <mergeCell ref="H1:I1"/>
    <mergeCell ref="H2:I2"/>
    <mergeCell ref="A1:B1"/>
    <mergeCell ref="A2:B2"/>
    <mergeCell ref="A5:B5"/>
    <mergeCell ref="C5:D5"/>
    <mergeCell ref="E5:F5"/>
    <mergeCell ref="A31:B31"/>
    <mergeCell ref="C31:D31"/>
    <mergeCell ref="G31:J31"/>
    <mergeCell ref="C7:D7"/>
    <mergeCell ref="A4:J4"/>
    <mergeCell ref="A37:J37"/>
    <mergeCell ref="A38:B38"/>
    <mergeCell ref="C38:D38"/>
    <mergeCell ref="E38:F38"/>
    <mergeCell ref="G38:J38"/>
    <mergeCell ref="L19:P19"/>
    <mergeCell ref="L20:P20"/>
    <mergeCell ref="M25:N25"/>
    <mergeCell ref="G5:J5"/>
    <mergeCell ref="G7:J7"/>
    <mergeCell ref="A7:B7"/>
    <mergeCell ref="L35:P35"/>
    <mergeCell ref="L36:P36"/>
    <mergeCell ref="L37:P37"/>
    <mergeCell ref="L38:P38"/>
    <mergeCell ref="L39:P40"/>
    <mergeCell ref="L42:P42"/>
    <mergeCell ref="L45:P45"/>
    <mergeCell ref="O43:P43"/>
    <mergeCell ref="O22:P25"/>
    <mergeCell ref="L27:P27"/>
    <mergeCell ref="L28:P29"/>
    <mergeCell ref="L30:N31"/>
    <mergeCell ref="L32:N33"/>
    <mergeCell ref="O30:P33"/>
    <mergeCell ref="A107:P108"/>
    <mergeCell ref="A78:B78"/>
    <mergeCell ref="C78:D78"/>
    <mergeCell ref="E78:F78"/>
    <mergeCell ref="E83:F83"/>
    <mergeCell ref="A83:B84"/>
    <mergeCell ref="C83:D83"/>
    <mergeCell ref="C84:D84"/>
    <mergeCell ref="E84:F84"/>
    <mergeCell ref="H78:J78"/>
    <mergeCell ref="H83:J83"/>
    <mergeCell ref="H84:J84"/>
    <mergeCell ref="H93:J93"/>
    <mergeCell ref="H81:J81"/>
    <mergeCell ref="A85:B86"/>
    <mergeCell ref="C85:D86"/>
    <mergeCell ref="E85:F86"/>
    <mergeCell ref="G85:G86"/>
    <mergeCell ref="H85:J86"/>
    <mergeCell ref="K85:P86"/>
    <mergeCell ref="A93:B94"/>
    <mergeCell ref="C93:D93"/>
    <mergeCell ref="E93:F93"/>
    <mergeCell ref="K93:P94"/>
    <mergeCell ref="H80:J80"/>
    <mergeCell ref="K79:P80"/>
    <mergeCell ref="A81:B82"/>
    <mergeCell ref="K81:P82"/>
    <mergeCell ref="E82:F82"/>
    <mergeCell ref="C82:D82"/>
    <mergeCell ref="A65:P65"/>
    <mergeCell ref="A66:P66"/>
    <mergeCell ref="H82:J82"/>
    <mergeCell ref="A73:E73"/>
    <mergeCell ref="A70:P70"/>
    <mergeCell ref="A67:P68"/>
    <mergeCell ref="A69:P69"/>
    <mergeCell ref="A71:P71"/>
    <mergeCell ref="A72:P72"/>
    <mergeCell ref="A74:P74"/>
    <mergeCell ref="A75:P75"/>
    <mergeCell ref="A76:P76"/>
    <mergeCell ref="A77:P77"/>
    <mergeCell ref="E80:F80"/>
    <mergeCell ref="H79:J79"/>
    <mergeCell ref="K83:P84"/>
    <mergeCell ref="H103:J103"/>
    <mergeCell ref="K102:P103"/>
    <mergeCell ref="A100:B101"/>
    <mergeCell ref="C100:D100"/>
    <mergeCell ref="C101:D101"/>
    <mergeCell ref="E100:F100"/>
    <mergeCell ref="E101:F101"/>
    <mergeCell ref="K100:P101"/>
    <mergeCell ref="H101:J101"/>
    <mergeCell ref="A98:B99"/>
    <mergeCell ref="C98:D98"/>
    <mergeCell ref="C99:D99"/>
    <mergeCell ref="E98:F98"/>
    <mergeCell ref="E99:F99"/>
    <mergeCell ref="H98:J98"/>
    <mergeCell ref="H99:J99"/>
    <mergeCell ref="K98:P99"/>
    <mergeCell ref="K95:P96"/>
    <mergeCell ref="C96:D96"/>
    <mergeCell ref="H96:J96"/>
    <mergeCell ref="A89:B90"/>
    <mergeCell ref="A87:B88"/>
    <mergeCell ref="C87:D87"/>
    <mergeCell ref="K104:P105"/>
    <mergeCell ref="A102:B103"/>
    <mergeCell ref="C102:D102"/>
    <mergeCell ref="C103:D103"/>
    <mergeCell ref="E102:F102"/>
    <mergeCell ref="E103:F103"/>
    <mergeCell ref="H102:J102"/>
    <mergeCell ref="A97:B97"/>
    <mergeCell ref="C97:D97"/>
    <mergeCell ref="E97:F97"/>
    <mergeCell ref="H97:J97"/>
    <mergeCell ref="H100:J100"/>
    <mergeCell ref="K97:P97"/>
    <mergeCell ref="H91:J92"/>
    <mergeCell ref="K91:P92"/>
    <mergeCell ref="A50:B50"/>
    <mergeCell ref="D50:E50"/>
    <mergeCell ref="H50:I50"/>
    <mergeCell ref="A51:B51"/>
    <mergeCell ref="D51:E51"/>
    <mergeCell ref="H51:I51"/>
    <mergeCell ref="A104:B105"/>
    <mergeCell ref="C104:D104"/>
    <mergeCell ref="C105:D105"/>
    <mergeCell ref="E104:F104"/>
    <mergeCell ref="E105:F105"/>
    <mergeCell ref="H104:J104"/>
    <mergeCell ref="H105:J105"/>
    <mergeCell ref="H89:J89"/>
    <mergeCell ref="A64:P64"/>
    <mergeCell ref="K78:P78"/>
    <mergeCell ref="C81:D81"/>
    <mergeCell ref="E81:F81"/>
    <mergeCell ref="C79:D79"/>
    <mergeCell ref="E79:F79"/>
    <mergeCell ref="A79:B80"/>
    <mergeCell ref="C80:D80"/>
  </mergeCells>
  <hyperlinks>
    <hyperlink ref="H1" location="'Wt Entry Page'!A1" display="Return to Entry Page"/>
    <hyperlink ref="H50" location="'Wt Entry Page'!A1" display="Return to Entry Page"/>
    <hyperlink ref="H1:I1" location="'Patient information entry'!A1" display="Return to Entry Page"/>
    <hyperlink ref="H50:I50" location="'Patient information entry'!A1" display="Return to Entry Page"/>
  </hyperlinks>
  <pageMargins left="0.15748031496062992" right="0.15748031496062992" top="0.39370078740157483" bottom="0" header="0" footer="0"/>
  <pageSetup paperSize="9" scale="81" fitToHeight="0" orientation="landscape"/>
  <headerFooter scaleWithDoc="1" alignWithMargins="1" differentFirst="0" differentOddEven="0">
    <oddHeader>&amp;L&amp;9&amp;G&amp;C&amp;F&amp;RPage &amp;P of &amp;N</oddHeader>
  </headerFooter>
  <legacyDrawingHF r:id="rId3"/>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5BE3849B9FE54CB1616B67272A872B" ma:contentTypeVersion="9" ma:contentTypeDescription="Create a new document." ma:contentTypeScope="" ma:versionID="23a4e7110a5d123911d41de31457b8d7">
  <xsd:schema xmlns:xsd="http://www.w3.org/2001/XMLSchema" xmlns:xs="http://www.w3.org/2001/XMLSchema" xmlns:p="http://schemas.microsoft.com/office/2006/metadata/properties" xmlns:ns2="32b6bdff-efb9-4efa-8ff1-961cbf026fc7" xmlns:ns3="799bda50-218d-4ee4-87a9-8843773c1706" targetNamespace="http://schemas.microsoft.com/office/2006/metadata/properties" ma:root="true" ma:fieldsID="fec0fe5c78434a5cab8e9679322e312d" ns2:_="" ns3:_="">
    <xsd:import namespace="32b6bdff-efb9-4efa-8ff1-961cbf026fc7"/>
    <xsd:import namespace="799bda50-218d-4ee4-87a9-8843773c170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b6bdff-efb9-4efa-8ff1-961cbf026f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9bda50-218d-4ee4-87a9-8843773c170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criptIds xmlns="http://schemas.microsoft.com/office/extensibility/maker/v1.0" id="script-ids-node-id">
  <scriptId id="ms-officescript%3A%2F%2Fonedrive_business_itemlink%2F01GX3OH2LHVWTWYIB5HZBI2K2UQ4J5L6KW:ms-officescript%3A%2F%2Fonedrive_business_sharinglink%2Fu!aHR0cHM6Ly9vdWhuaHN1ay1teS5zaGFyZXBvaW50LmNvbS86dTovZy9wZXJzb25hbC9sb3Vpc2VfcHVudGVyX291aF9uaHNfdWsvRVdldHAyd2dQVDVDalN0VWh4UFYtVllCUTVnQ2o0UWRmcXpCOVBpNWVxYlA2Zw"/>
  <scriptId xmlns="" id="ms-officescript%3A%2F%2Fonedrive_business_itemlink%2F01GX3OH2J3Z7QGAUH6SRAKRAFC7STSUKHG:ms-officescript%3A%2F%2Fonedrive_business_sharinglink%2Fu!aHR0cHM6Ly9vdWhuaHN1ay1teS5zaGFyZXBvaW50LmNvbS86dTovZy9wZXJzb25hbC9sb3Vpc2VfcHVudGVyX291aF9uaHNfdWsvRVR2UDRHQlFfcFJBcUlDaV9LY3FLT1lCcXdIUzRqdVVVdXJCaHZXZ09kT1o0Zw"/>
  <scriptId xmlns="" id="ms-officescript%3A%2F%2Fonedrive_business_itemlink%2F01GX3OH2IRAQHRYOZN75C2ZSUX6UM6UO7U:ms-officescript%3A%2F%2Fonedrive_business_sharinglink%2Fu!aHR0cHM6Ly9vdWhuaHN1ay1teS5zaGFyZXBvaW50LmNvbS86dTovZy9wZXJzb25hbC9sb3Vpc2VfcHVudGVyX291aF9uaHNfdWsvRVJFRUR4dzdMZjlGck1xWDlSbnFPX1FCMUk4T3BtMy1fWTV5a29wM3RMZGoyUQ"/>
</scriptId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0CECBA-B9F9-4047-98D0-FF1C1F1A4F13}">
  <ds:schemaRefs>
    <ds:schemaRef ds:uri="http://schemas.microsoft.com/sharepoint/v3/contenttype/forms"/>
  </ds:schemaRefs>
</ds:datastoreItem>
</file>

<file path=customXml/itemProps2.xml><?xml version="1.0" encoding="utf-8"?>
<ds:datastoreItem xmlns:ds="http://schemas.openxmlformats.org/officeDocument/2006/customXml" ds:itemID="{0761D4D5-7B08-401E-B9CC-E6AE6FE08E82}">
  <ds:schemaRefs>
    <ds:schemaRef ds:uri="http://schemas.microsoft.com/office/extensibility/maker/v1.0"/>
    <ds:schemaRef ds:uri=""/>
  </ds:schemaRefs>
</ds:datastoreItem>
</file>

<file path=customXml/itemProps3.xml><?xml version="1.0" encoding="utf-8"?>
<ds:datastoreItem xmlns:ds="http://schemas.openxmlformats.org/officeDocument/2006/customXml" ds:itemID="{63D773D4-0A31-4642-BE50-1172C21044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b6bdff-efb9-4efa-8ff1-961cbf026fc7"/>
    <ds:schemaRef ds:uri="799bda50-218d-4ee4-87a9-8843773c17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Application>Microsoft Excel</Application>
  <Company/>
  <Manager/>
  <HyperlinkBase/>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
  <dc:creator>Weddell, Jennifer;Louise.Punter@ouh.nhs.uk</dc:creator>
  <dc:description/>
  <cp:keywords/>
  <cp:lastModifiedBy>Alex Osborn-Clarke</cp:lastModifiedBy>
  <dcterms:created xsi:type="dcterms:W3CDTF">2022-03-09T10:11:24Z</dcterms:created>
  <dcterms:modified xsi:type="dcterms:W3CDTF">2026-03-30T16:45:11Z</dcterms:modified>
  <dc:subject/>
  <cp:lastPrinted>2026-03-25T11:32:37Z</cp:lastPrinted>
  <dc:title>Wessex SONeT drug guide V3 2025</dc:title>
</cp:coreProperties>
</file>

<file path=docProps/custom.xml><?xml version="1.0" encoding="utf-8"?>
<Properties xmlns:vt="http://schemas.openxmlformats.org/officeDocument/2006/docPropsVTypes" xmlns="http://schemas.openxmlformats.org/officeDocument/2006/custom-properties"/>
</file>